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ldems\Desktop\"/>
    </mc:Choice>
  </mc:AlternateContent>
  <bookViews>
    <workbookView xWindow="0" yWindow="0" windowWidth="28800" windowHeight="14685" tabRatio="826" firstSheet="5" activeTab="9"/>
  </bookViews>
  <sheets>
    <sheet name="Attachment A" sheetId="15" r:id="rId1"/>
    <sheet name="Attachment B" sheetId="1" r:id="rId2"/>
    <sheet name="Att.C Kosten totaal (Passive)" sheetId="7" r:id="rId3"/>
    <sheet name="Att. D Kosten totaal (Hybrid)" sheetId="3" r:id="rId4"/>
    <sheet name="Att E Kosten totaal (Active)" sheetId="8" r:id="rId5"/>
    <sheet name="Att F Kosten &amp; Baten (Passive)" sheetId="10" r:id="rId6"/>
    <sheet name="Att G Kosten &amp; Baten (Hybrid)" sheetId="4" r:id="rId7"/>
    <sheet name="Att H Kosten &amp; Baten (Active)" sheetId="9" r:id="rId8"/>
    <sheet name="Att I (P+verspilling)" sheetId="12" r:id="rId9"/>
    <sheet name="Att J (H+verspilling)" sheetId="6" r:id="rId10"/>
    <sheet name="Att K (A+verspilling)" sheetId="13" r:id="rId11"/>
    <sheet name="Att L Return on Investment" sheetId="11" r:id="rId12"/>
    <sheet name="Att M ROI + Waste Reduction" sheetId="14" r:id="rId13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9" l="1"/>
  <c r="E32" i="13"/>
  <c r="F26" i="9"/>
  <c r="E26" i="9"/>
  <c r="L21" i="12"/>
  <c r="L20" i="12"/>
  <c r="F5" i="14"/>
  <c r="F4" i="14"/>
  <c r="F3" i="14"/>
  <c r="F3" i="11"/>
  <c r="B28" i="13"/>
  <c r="B27" i="13"/>
  <c r="B26" i="13"/>
  <c r="B25" i="13"/>
  <c r="B24" i="13"/>
  <c r="C28" i="13"/>
  <c r="C27" i="13"/>
  <c r="C26" i="13"/>
  <c r="C25" i="13"/>
  <c r="C24" i="13"/>
  <c r="C28" i="6"/>
  <c r="C27" i="6"/>
  <c r="C26" i="6"/>
  <c r="C25" i="6"/>
  <c r="C24" i="6"/>
  <c r="B28" i="6"/>
  <c r="B27" i="6"/>
  <c r="B26" i="6"/>
  <c r="B25" i="6"/>
  <c r="B24" i="6"/>
  <c r="C28" i="10"/>
  <c r="C27" i="10"/>
  <c r="C26" i="10"/>
  <c r="C25" i="10"/>
  <c r="C24" i="10"/>
  <c r="B28" i="10"/>
  <c r="B27" i="10"/>
  <c r="B26" i="10"/>
  <c r="B25" i="10"/>
  <c r="B24" i="10"/>
  <c r="E24" i="10" s="1"/>
  <c r="G24" i="10" s="1"/>
  <c r="C9" i="13"/>
  <c r="D9" i="13" s="1"/>
  <c r="D11" i="13" s="1"/>
  <c r="D12" i="13" s="1"/>
  <c r="D6" i="13"/>
  <c r="C6" i="13"/>
  <c r="E3" i="13"/>
  <c r="C10" i="6"/>
  <c r="D9" i="6"/>
  <c r="D11" i="6" s="1"/>
  <c r="D12" i="6" s="1"/>
  <c r="C9" i="6"/>
  <c r="C11" i="6" s="1"/>
  <c r="D6" i="6"/>
  <c r="C6" i="6"/>
  <c r="E3" i="6"/>
  <c r="C10" i="12"/>
  <c r="C9" i="12"/>
  <c r="D9" i="12" s="1"/>
  <c r="D11" i="12" s="1"/>
  <c r="D12" i="12" s="1"/>
  <c r="D6" i="12"/>
  <c r="C6" i="12"/>
  <c r="E3" i="12"/>
  <c r="C9" i="9"/>
  <c r="C11" i="9" s="1"/>
  <c r="D6" i="9"/>
  <c r="C6" i="9"/>
  <c r="E3" i="9"/>
  <c r="C9" i="4"/>
  <c r="D9" i="4" s="1"/>
  <c r="D11" i="4" s="1"/>
  <c r="D12" i="4" s="1"/>
  <c r="D6" i="4"/>
  <c r="C6" i="4"/>
  <c r="E3" i="4"/>
  <c r="L18" i="6"/>
  <c r="L17" i="6"/>
  <c r="L20" i="6" s="1"/>
  <c r="L21" i="6" s="1"/>
  <c r="L13" i="6"/>
  <c r="L11" i="6"/>
  <c r="L9" i="6"/>
  <c r="L22" i="6" s="1"/>
  <c r="L23" i="6" s="1"/>
  <c r="L5" i="6"/>
  <c r="C10" i="10"/>
  <c r="D9" i="10"/>
  <c r="D11" i="10" s="1"/>
  <c r="D12" i="10" s="1"/>
  <c r="C9" i="10"/>
  <c r="C11" i="10" s="1"/>
  <c r="D6" i="10"/>
  <c r="C6" i="10"/>
  <c r="E3" i="10"/>
  <c r="C27" i="1"/>
  <c r="C28" i="1"/>
  <c r="L18" i="12"/>
  <c r="L17" i="12"/>
  <c r="L13" i="12"/>
  <c r="L11" i="12"/>
  <c r="L9" i="12"/>
  <c r="L22" i="12" s="1"/>
  <c r="L5" i="12"/>
  <c r="L20" i="13"/>
  <c r="L21" i="13" s="1"/>
  <c r="L18" i="13"/>
  <c r="L17" i="13"/>
  <c r="L13" i="13"/>
  <c r="L11" i="13"/>
  <c r="L9" i="13"/>
  <c r="L22" i="13" s="1"/>
  <c r="L23" i="13" s="1"/>
  <c r="L5" i="13"/>
  <c r="G76" i="15"/>
  <c r="F76" i="15"/>
  <c r="E76" i="15"/>
  <c r="D76" i="15"/>
  <c r="C76" i="15"/>
  <c r="G75" i="15"/>
  <c r="F75" i="15"/>
  <c r="E75" i="15"/>
  <c r="D75" i="15"/>
  <c r="C75" i="15"/>
  <c r="G74" i="15"/>
  <c r="F74" i="15"/>
  <c r="E74" i="15"/>
  <c r="D74" i="15"/>
  <c r="C74" i="15"/>
  <c r="G73" i="15"/>
  <c r="F73" i="15"/>
  <c r="E73" i="15"/>
  <c r="D73" i="15"/>
  <c r="C73" i="15"/>
  <c r="G72" i="15"/>
  <c r="F72" i="15"/>
  <c r="E72" i="15"/>
  <c r="D72" i="15"/>
  <c r="C72" i="15"/>
  <c r="G71" i="15"/>
  <c r="F71" i="15"/>
  <c r="E71" i="15"/>
  <c r="D71" i="15"/>
  <c r="C71" i="15"/>
  <c r="G70" i="15"/>
  <c r="F70" i="15"/>
  <c r="E70" i="15"/>
  <c r="D70" i="15"/>
  <c r="C70" i="15"/>
  <c r="G69" i="15"/>
  <c r="F69" i="15"/>
  <c r="E69" i="15"/>
  <c r="D69" i="15"/>
  <c r="C69" i="15"/>
  <c r="G68" i="15"/>
  <c r="F68" i="15"/>
  <c r="E68" i="15"/>
  <c r="D68" i="15"/>
  <c r="C68" i="15"/>
  <c r="G67" i="15"/>
  <c r="F67" i="15"/>
  <c r="E67" i="15"/>
  <c r="D67" i="15"/>
  <c r="C67" i="15"/>
  <c r="G65" i="15"/>
  <c r="F65" i="15"/>
  <c r="E65" i="15"/>
  <c r="D65" i="15"/>
  <c r="C65" i="15"/>
  <c r="G64" i="15"/>
  <c r="F64" i="15"/>
  <c r="E64" i="15"/>
  <c r="D64" i="15"/>
  <c r="C64" i="15"/>
  <c r="G63" i="15"/>
  <c r="F63" i="15"/>
  <c r="E63" i="15"/>
  <c r="D63" i="15"/>
  <c r="C63" i="15"/>
  <c r="G62" i="15"/>
  <c r="F62" i="15"/>
  <c r="E62" i="15"/>
  <c r="D62" i="15"/>
  <c r="C62" i="15"/>
  <c r="G61" i="15"/>
  <c r="F61" i="15"/>
  <c r="E61" i="15"/>
  <c r="D61" i="15"/>
  <c r="C61" i="15"/>
  <c r="G59" i="15"/>
  <c r="F59" i="15"/>
  <c r="E59" i="15"/>
  <c r="D59" i="15"/>
  <c r="C59" i="15"/>
  <c r="G58" i="15"/>
  <c r="F58" i="15"/>
  <c r="E58" i="15"/>
  <c r="D58" i="15"/>
  <c r="C58" i="15"/>
  <c r="G57" i="15"/>
  <c r="F57" i="15"/>
  <c r="E57" i="15"/>
  <c r="D57" i="15"/>
  <c r="C57" i="15"/>
  <c r="G56" i="15"/>
  <c r="F56" i="15"/>
  <c r="E56" i="15"/>
  <c r="D56" i="15"/>
  <c r="C56" i="15"/>
  <c r="G55" i="15"/>
  <c r="F55" i="15"/>
  <c r="E55" i="15"/>
  <c r="D55" i="15"/>
  <c r="C55" i="15"/>
  <c r="G54" i="15"/>
  <c r="F54" i="15"/>
  <c r="E54" i="15"/>
  <c r="D54" i="15"/>
  <c r="C54" i="15"/>
  <c r="G53" i="15"/>
  <c r="F53" i="15"/>
  <c r="E53" i="15"/>
  <c r="D53" i="15"/>
  <c r="C53" i="15"/>
  <c r="G52" i="15"/>
  <c r="F52" i="15"/>
  <c r="E52" i="15"/>
  <c r="D52" i="15"/>
  <c r="C52" i="15"/>
  <c r="G51" i="15"/>
  <c r="F51" i="15"/>
  <c r="E51" i="15"/>
  <c r="D51" i="15"/>
  <c r="C51" i="15"/>
  <c r="G50" i="15"/>
  <c r="F50" i="15"/>
  <c r="E50" i="15"/>
  <c r="D50" i="15"/>
  <c r="C50" i="15"/>
  <c r="G49" i="15"/>
  <c r="F49" i="15"/>
  <c r="E49" i="15"/>
  <c r="D49" i="15"/>
  <c r="C49" i="15"/>
  <c r="G48" i="15"/>
  <c r="F48" i="15"/>
  <c r="E48" i="15"/>
  <c r="D48" i="15"/>
  <c r="C48" i="15"/>
  <c r="G47" i="15"/>
  <c r="F47" i="15"/>
  <c r="E47" i="15"/>
  <c r="D47" i="15"/>
  <c r="C47" i="15"/>
  <c r="G46" i="15"/>
  <c r="F46" i="15"/>
  <c r="E46" i="15"/>
  <c r="D46" i="15"/>
  <c r="C46" i="15"/>
  <c r="G45" i="15"/>
  <c r="F45" i="15"/>
  <c r="E45" i="15"/>
  <c r="D45" i="15"/>
  <c r="C45" i="15"/>
  <c r="G44" i="15"/>
  <c r="F44" i="15"/>
  <c r="E44" i="15"/>
  <c r="D44" i="15"/>
  <c r="C44" i="15"/>
  <c r="G43" i="15"/>
  <c r="F43" i="15"/>
  <c r="E43" i="15"/>
  <c r="D43" i="15"/>
  <c r="C43" i="15"/>
  <c r="G42" i="15"/>
  <c r="F42" i="15"/>
  <c r="E42" i="15"/>
  <c r="D42" i="15"/>
  <c r="C42" i="15"/>
  <c r="G41" i="15"/>
  <c r="F41" i="15"/>
  <c r="E41" i="15"/>
  <c r="D41" i="15"/>
  <c r="C41" i="15"/>
  <c r="G40" i="15"/>
  <c r="F40" i="15"/>
  <c r="E40" i="15"/>
  <c r="D40" i="15"/>
  <c r="C40" i="15"/>
  <c r="G39" i="15"/>
  <c r="F39" i="15"/>
  <c r="E39" i="15"/>
  <c r="D39" i="15"/>
  <c r="C39" i="15"/>
  <c r="G38" i="15"/>
  <c r="F38" i="15"/>
  <c r="E38" i="15"/>
  <c r="D38" i="15"/>
  <c r="C38" i="15"/>
  <c r="G37" i="15"/>
  <c r="F37" i="15"/>
  <c r="E37" i="15"/>
  <c r="D37" i="15"/>
  <c r="C37" i="15"/>
  <c r="G36" i="15"/>
  <c r="F36" i="15"/>
  <c r="E36" i="15"/>
  <c r="D36" i="15"/>
  <c r="C36" i="15"/>
  <c r="G35" i="15"/>
  <c r="F35" i="15"/>
  <c r="E35" i="15"/>
  <c r="D35" i="15"/>
  <c r="C35" i="15"/>
  <c r="G34" i="15"/>
  <c r="F34" i="15"/>
  <c r="E34" i="15"/>
  <c r="D34" i="15"/>
  <c r="C34" i="15"/>
  <c r="G33" i="15"/>
  <c r="F33" i="15"/>
  <c r="E33" i="15"/>
  <c r="D33" i="15"/>
  <c r="C33" i="15"/>
  <c r="G31" i="15"/>
  <c r="F31" i="15"/>
  <c r="E31" i="15"/>
  <c r="D31" i="15"/>
  <c r="C31" i="15"/>
  <c r="G30" i="15"/>
  <c r="F30" i="15"/>
  <c r="E30" i="15"/>
  <c r="D30" i="15"/>
  <c r="C30" i="15"/>
  <c r="G29" i="15"/>
  <c r="F29" i="15"/>
  <c r="E29" i="15"/>
  <c r="D29" i="15"/>
  <c r="C29" i="15"/>
  <c r="G28" i="15"/>
  <c r="F28" i="15"/>
  <c r="E28" i="15"/>
  <c r="D28" i="15"/>
  <c r="C28" i="15"/>
  <c r="G27" i="15"/>
  <c r="F27" i="15"/>
  <c r="E27" i="15"/>
  <c r="D27" i="15"/>
  <c r="C27" i="15"/>
  <c r="G25" i="15"/>
  <c r="F25" i="15"/>
  <c r="E25" i="15"/>
  <c r="D25" i="15"/>
  <c r="C25" i="15"/>
  <c r="G24" i="15"/>
  <c r="F24" i="15"/>
  <c r="E24" i="15"/>
  <c r="D24" i="15"/>
  <c r="C24" i="15"/>
  <c r="G23" i="15"/>
  <c r="F23" i="15"/>
  <c r="E23" i="15"/>
  <c r="D23" i="15"/>
  <c r="C23" i="15"/>
  <c r="G22" i="15"/>
  <c r="F22" i="15"/>
  <c r="E22" i="15"/>
  <c r="D22" i="15"/>
  <c r="C22" i="15"/>
  <c r="G21" i="15"/>
  <c r="F21" i="15"/>
  <c r="E21" i="15"/>
  <c r="D21" i="15"/>
  <c r="C21" i="15"/>
  <c r="G20" i="15"/>
  <c r="F20" i="15"/>
  <c r="E20" i="15"/>
  <c r="D20" i="15"/>
  <c r="C20" i="15"/>
  <c r="G18" i="15"/>
  <c r="F18" i="15"/>
  <c r="E18" i="15"/>
  <c r="D18" i="15"/>
  <c r="C18" i="15"/>
  <c r="G17" i="15"/>
  <c r="F17" i="15"/>
  <c r="E17" i="15"/>
  <c r="D17" i="15"/>
  <c r="C17" i="15"/>
  <c r="G16" i="15"/>
  <c r="F16" i="15"/>
  <c r="E16" i="15"/>
  <c r="D16" i="15"/>
  <c r="C16" i="15"/>
  <c r="G15" i="15"/>
  <c r="F15" i="15"/>
  <c r="E15" i="15"/>
  <c r="D15" i="15"/>
  <c r="C15" i="15"/>
  <c r="G14" i="15"/>
  <c r="F14" i="15"/>
  <c r="E14" i="15"/>
  <c r="D14" i="15"/>
  <c r="C14" i="15"/>
  <c r="G13" i="15"/>
  <c r="F13" i="15"/>
  <c r="E13" i="15"/>
  <c r="D13" i="15"/>
  <c r="C13" i="15"/>
  <c r="G12" i="15"/>
  <c r="F12" i="15"/>
  <c r="E12" i="15"/>
  <c r="D12" i="15"/>
  <c r="C12" i="15"/>
  <c r="G11" i="15"/>
  <c r="F11" i="15"/>
  <c r="E11" i="15"/>
  <c r="D11" i="15"/>
  <c r="C11" i="15"/>
  <c r="G10" i="15"/>
  <c r="F10" i="15"/>
  <c r="E10" i="15"/>
  <c r="D10" i="15"/>
  <c r="C10" i="15"/>
  <c r="G9" i="15"/>
  <c r="F9" i="15"/>
  <c r="E9" i="15"/>
  <c r="D9" i="15"/>
  <c r="C9" i="15"/>
  <c r="P8" i="15"/>
  <c r="G8" i="15" s="1"/>
  <c r="G7" i="15"/>
  <c r="F7" i="15"/>
  <c r="E7" i="15"/>
  <c r="D7" i="15"/>
  <c r="C7" i="15"/>
  <c r="Q6" i="15"/>
  <c r="G6" i="15" s="1"/>
  <c r="F6" i="15"/>
  <c r="E6" i="15"/>
  <c r="D6" i="15"/>
  <c r="C6" i="15"/>
  <c r="G5" i="15"/>
  <c r="F5" i="15"/>
  <c r="E5" i="15"/>
  <c r="D5" i="15"/>
  <c r="C5" i="15"/>
  <c r="L23" i="12" l="1"/>
  <c r="C25" i="12"/>
  <c r="B24" i="12"/>
  <c r="C10" i="13"/>
  <c r="C11" i="13"/>
  <c r="C12" i="6"/>
  <c r="E12" i="6" s="1"/>
  <c r="E13" i="6" s="1"/>
  <c r="E11" i="6"/>
  <c r="C11" i="12"/>
  <c r="C12" i="9"/>
  <c r="D9" i="9"/>
  <c r="D11" i="9" s="1"/>
  <c r="D12" i="9" s="1"/>
  <c r="C10" i="9"/>
  <c r="C10" i="4"/>
  <c r="C11" i="4"/>
  <c r="C12" i="10"/>
  <c r="E12" i="10" s="1"/>
  <c r="E13" i="10" s="1"/>
  <c r="E11" i="10"/>
  <c r="D8" i="15"/>
  <c r="C8" i="15"/>
  <c r="E8" i="15"/>
  <c r="F8" i="15"/>
  <c r="C27" i="12" l="1"/>
  <c r="B27" i="12"/>
  <c r="B26" i="12"/>
  <c r="B25" i="12"/>
  <c r="B28" i="12"/>
  <c r="C28" i="12"/>
  <c r="C26" i="12"/>
  <c r="C24" i="12"/>
  <c r="C12" i="13"/>
  <c r="E12" i="13" s="1"/>
  <c r="E13" i="13" s="1"/>
  <c r="E11" i="13"/>
  <c r="C12" i="12"/>
  <c r="E12" i="12" s="1"/>
  <c r="E13" i="12" s="1"/>
  <c r="E11" i="12"/>
  <c r="E12" i="9"/>
  <c r="E11" i="9"/>
  <c r="F5" i="11" s="1"/>
  <c r="C12" i="4"/>
  <c r="E12" i="4" s="1"/>
  <c r="E11" i="4"/>
  <c r="E5" i="14"/>
  <c r="E4" i="14"/>
  <c r="E3" i="14"/>
  <c r="D17" i="13"/>
  <c r="H8" i="13"/>
  <c r="D28" i="12"/>
  <c r="D27" i="12"/>
  <c r="D26" i="12"/>
  <c r="D25" i="12"/>
  <c r="D17" i="12"/>
  <c r="H16" i="12"/>
  <c r="H8" i="12"/>
  <c r="H7" i="12"/>
  <c r="E4" i="11"/>
  <c r="E3" i="11"/>
  <c r="G3" i="11"/>
  <c r="E5" i="11"/>
  <c r="E13" i="4" l="1"/>
  <c r="E13" i="9"/>
  <c r="B29" i="9"/>
  <c r="B28" i="9"/>
  <c r="B27" i="9"/>
  <c r="B26" i="9"/>
  <c r="B25" i="9"/>
  <c r="M25" i="8"/>
  <c r="M23" i="8"/>
  <c r="M25" i="7"/>
  <c r="M23" i="7"/>
  <c r="C26" i="9" l="1"/>
  <c r="C28" i="9"/>
  <c r="C25" i="9"/>
  <c r="C29" i="9"/>
  <c r="C27" i="9"/>
  <c r="E26" i="12" l="1"/>
  <c r="E25" i="12"/>
  <c r="E28" i="12"/>
  <c r="E27" i="12"/>
  <c r="C68" i="1"/>
  <c r="C69" i="1"/>
  <c r="C70" i="1"/>
  <c r="C71" i="1"/>
  <c r="C72" i="1"/>
  <c r="C73" i="1"/>
  <c r="C74" i="1"/>
  <c r="C75" i="1"/>
  <c r="C76" i="1"/>
  <c r="C67" i="1"/>
  <c r="C62" i="1"/>
  <c r="C63" i="1"/>
  <c r="C64" i="1"/>
  <c r="C65" i="1"/>
  <c r="C61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33" i="1"/>
  <c r="C29" i="1"/>
  <c r="C30" i="1"/>
  <c r="C31" i="1"/>
  <c r="C21" i="1"/>
  <c r="C22" i="1"/>
  <c r="C23" i="1"/>
  <c r="C24" i="1"/>
  <c r="C25" i="1"/>
  <c r="C20" i="1"/>
  <c r="C5" i="1"/>
  <c r="C6" i="1"/>
  <c r="C7" i="1"/>
  <c r="C9" i="1"/>
  <c r="C10" i="1"/>
  <c r="C11" i="1"/>
  <c r="C12" i="1"/>
  <c r="C13" i="1"/>
  <c r="C14" i="1"/>
  <c r="C15" i="1"/>
  <c r="C16" i="1"/>
  <c r="C17" i="1"/>
  <c r="C18" i="1"/>
  <c r="D27" i="10"/>
  <c r="D25" i="10"/>
  <c r="C77" i="1" l="1"/>
  <c r="E87" i="1" s="1"/>
  <c r="B30" i="13"/>
  <c r="F28" i="12"/>
  <c r="F25" i="12"/>
  <c r="F27" i="12"/>
  <c r="F26" i="12"/>
  <c r="B30" i="12"/>
  <c r="H7" i="10"/>
  <c r="H8" i="10" s="1"/>
  <c r="I28" i="7"/>
  <c r="H16" i="10" s="1"/>
  <c r="G28" i="7"/>
  <c r="G28" i="8"/>
  <c r="I28" i="8" s="1"/>
  <c r="D16" i="13" s="1"/>
  <c r="H16" i="13" s="1"/>
  <c r="D18" i="9"/>
  <c r="H8" i="9"/>
  <c r="D17" i="10"/>
  <c r="D55" i="3"/>
  <c r="D54" i="3"/>
  <c r="D53" i="3"/>
  <c r="D52" i="3"/>
  <c r="D51" i="3"/>
  <c r="D48" i="3"/>
  <c r="D47" i="3"/>
  <c r="D46" i="3"/>
  <c r="D45" i="3"/>
  <c r="N18" i="7"/>
  <c r="N17" i="7"/>
  <c r="N16" i="7"/>
  <c r="N15" i="7"/>
  <c r="N14" i="7"/>
  <c r="N11" i="7"/>
  <c r="N10" i="7"/>
  <c r="N9" i="7"/>
  <c r="N8" i="7"/>
  <c r="D41" i="7"/>
  <c r="D40" i="7"/>
  <c r="D25" i="7"/>
  <c r="D22" i="7"/>
  <c r="D14" i="7"/>
  <c r="D13" i="7"/>
  <c r="D12" i="7"/>
  <c r="D11" i="7"/>
  <c r="D10" i="7"/>
  <c r="D9" i="7"/>
  <c r="N18" i="8"/>
  <c r="N17" i="8"/>
  <c r="N16" i="8"/>
  <c r="N15" i="8"/>
  <c r="N14" i="8"/>
  <c r="N11" i="8"/>
  <c r="N10" i="8"/>
  <c r="N9" i="8"/>
  <c r="N8" i="8"/>
  <c r="D41" i="8"/>
  <c r="D40" i="8"/>
  <c r="D25" i="8"/>
  <c r="D22" i="8"/>
  <c r="D10" i="8"/>
  <c r="D11" i="8"/>
  <c r="D12" i="8"/>
  <c r="D13" i="8"/>
  <c r="D14" i="8"/>
  <c r="D9" i="8"/>
  <c r="I35" i="8"/>
  <c r="F41" i="8"/>
  <c r="I38" i="8"/>
  <c r="I37" i="8"/>
  <c r="I36" i="8"/>
  <c r="H34" i="8"/>
  <c r="I34" i="8" s="1"/>
  <c r="H33" i="8"/>
  <c r="I33" i="8" s="1"/>
  <c r="H32" i="8"/>
  <c r="I32" i="8" s="1"/>
  <c r="H31" i="8"/>
  <c r="I31" i="8" s="1"/>
  <c r="H30" i="8"/>
  <c r="I30" i="8" s="1"/>
  <c r="H29" i="8"/>
  <c r="I29" i="8" s="1"/>
  <c r="H28" i="8"/>
  <c r="E27" i="8"/>
  <c r="F27" i="8" s="1"/>
  <c r="C27" i="8"/>
  <c r="D27" i="8" s="1"/>
  <c r="F25" i="8"/>
  <c r="I23" i="8"/>
  <c r="H21" i="8"/>
  <c r="I21" i="8" s="1"/>
  <c r="H20" i="8"/>
  <c r="I19" i="8"/>
  <c r="H19" i="8"/>
  <c r="P18" i="8"/>
  <c r="H18" i="8"/>
  <c r="P16" i="8"/>
  <c r="E16" i="8"/>
  <c r="F16" i="8" s="1"/>
  <c r="C16" i="8"/>
  <c r="D16" i="8" s="1"/>
  <c r="P15" i="8"/>
  <c r="P14" i="8"/>
  <c r="O13" i="8"/>
  <c r="M13" i="8"/>
  <c r="N13" i="8" s="1"/>
  <c r="P11" i="8"/>
  <c r="F11" i="8"/>
  <c r="P9" i="8"/>
  <c r="F9" i="8"/>
  <c r="E8" i="8"/>
  <c r="C8" i="8"/>
  <c r="D8" i="8" s="1"/>
  <c r="O7" i="8"/>
  <c r="P7" i="8" s="1"/>
  <c r="M7" i="8"/>
  <c r="N7" i="8" s="1"/>
  <c r="I38" i="7"/>
  <c r="I37" i="7"/>
  <c r="I36" i="7"/>
  <c r="I35" i="7"/>
  <c r="I34" i="7"/>
  <c r="I33" i="7"/>
  <c r="I32" i="7"/>
  <c r="I31" i="7"/>
  <c r="I30" i="7"/>
  <c r="I29" i="7"/>
  <c r="E27" i="7"/>
  <c r="C27" i="7"/>
  <c r="F40" i="7"/>
  <c r="I23" i="7"/>
  <c r="H21" i="7"/>
  <c r="I21" i="7" s="1"/>
  <c r="H20" i="7"/>
  <c r="I20" i="7" s="1"/>
  <c r="I19" i="7"/>
  <c r="H19" i="7"/>
  <c r="H18" i="7"/>
  <c r="I18" i="7"/>
  <c r="F16" i="7"/>
  <c r="E16" i="7"/>
  <c r="C16" i="7"/>
  <c r="D16" i="7" s="1"/>
  <c r="P14" i="7"/>
  <c r="O13" i="7"/>
  <c r="P13" i="7" s="1"/>
  <c r="N13" i="7"/>
  <c r="M13" i="7"/>
  <c r="F9" i="7"/>
  <c r="E8" i="7"/>
  <c r="D8" i="7"/>
  <c r="C8" i="7"/>
  <c r="O7" i="7"/>
  <c r="P7" i="7" s="1"/>
  <c r="M7" i="7"/>
  <c r="N7" i="7" s="1"/>
  <c r="D17" i="6"/>
  <c r="H8" i="6"/>
  <c r="H5" i="14" l="1"/>
  <c r="H3" i="14"/>
  <c r="D19" i="9"/>
  <c r="D18" i="13"/>
  <c r="D26" i="13" s="1"/>
  <c r="E26" i="13" s="1"/>
  <c r="G18" i="8"/>
  <c r="I18" i="8" s="1"/>
  <c r="I20" i="8"/>
  <c r="I11" i="8"/>
  <c r="D28" i="9"/>
  <c r="D26" i="9"/>
  <c r="I9" i="8"/>
  <c r="C30" i="13"/>
  <c r="C30" i="12"/>
  <c r="D26" i="10"/>
  <c r="D28" i="10"/>
  <c r="Q14" i="8"/>
  <c r="Q18" i="8"/>
  <c r="Q14" i="7"/>
  <c r="I9" i="7"/>
  <c r="Q16" i="8"/>
  <c r="Q15" i="8"/>
  <c r="Q11" i="8"/>
  <c r="Q9" i="8"/>
  <c r="I41" i="8"/>
  <c r="I25" i="8"/>
  <c r="E5" i="8"/>
  <c r="Q7" i="8"/>
  <c r="D17" i="9"/>
  <c r="H17" i="9" s="1"/>
  <c r="D5" i="8"/>
  <c r="C5" i="8"/>
  <c r="P8" i="8"/>
  <c r="Q8" i="8" s="1"/>
  <c r="F13" i="8"/>
  <c r="I13" i="8" s="1"/>
  <c r="F14" i="8"/>
  <c r="I14" i="8" s="1"/>
  <c r="F22" i="8"/>
  <c r="I22" i="8" s="1"/>
  <c r="F10" i="8"/>
  <c r="I10" i="8" s="1"/>
  <c r="P17" i="8"/>
  <c r="Q17" i="8" s="1"/>
  <c r="F40" i="8"/>
  <c r="I40" i="8" s="1"/>
  <c r="P10" i="8"/>
  <c r="Q10" i="8" s="1"/>
  <c r="F8" i="8"/>
  <c r="F12" i="8"/>
  <c r="I12" i="8" s="1"/>
  <c r="P13" i="8"/>
  <c r="Q13" i="8" s="1"/>
  <c r="I40" i="7"/>
  <c r="C5" i="7"/>
  <c r="E5" i="7"/>
  <c r="D27" i="7"/>
  <c r="D5" i="7" s="1"/>
  <c r="Q7" i="7"/>
  <c r="Q13" i="7"/>
  <c r="F8" i="7"/>
  <c r="I8" i="7" s="1"/>
  <c r="P9" i="7"/>
  <c r="Q9" i="7" s="1"/>
  <c r="P15" i="7"/>
  <c r="Q15" i="7" s="1"/>
  <c r="P16" i="7"/>
  <c r="Q16" i="7" s="1"/>
  <c r="P8" i="7"/>
  <c r="Q8" i="7" s="1"/>
  <c r="F13" i="7"/>
  <c r="I13" i="7" s="1"/>
  <c r="F14" i="7"/>
  <c r="I14" i="7" s="1"/>
  <c r="F22" i="7"/>
  <c r="I22" i="7" s="1"/>
  <c r="F12" i="7"/>
  <c r="I12" i="7" s="1"/>
  <c r="F25" i="7"/>
  <c r="I25" i="7" s="1"/>
  <c r="F41" i="7"/>
  <c r="I41" i="7" s="1"/>
  <c r="F11" i="7"/>
  <c r="I11" i="7" s="1"/>
  <c r="P18" i="7"/>
  <c r="Q18" i="7" s="1"/>
  <c r="F10" i="7"/>
  <c r="I10" i="7" s="1"/>
  <c r="P17" i="7"/>
  <c r="Q17" i="7" s="1"/>
  <c r="F27" i="7"/>
  <c r="P10" i="7"/>
  <c r="Q10" i="7" s="1"/>
  <c r="P11" i="7"/>
  <c r="Q11" i="7" s="1"/>
  <c r="F26" i="13" l="1"/>
  <c r="D27" i="13"/>
  <c r="D25" i="13"/>
  <c r="D24" i="12"/>
  <c r="D28" i="13"/>
  <c r="I27" i="8"/>
  <c r="D29" i="9"/>
  <c r="D27" i="9"/>
  <c r="I16" i="8"/>
  <c r="I27" i="7"/>
  <c r="F5" i="8"/>
  <c r="I8" i="8"/>
  <c r="I16" i="7"/>
  <c r="I5" i="7" s="1"/>
  <c r="F5" i="7"/>
  <c r="E28" i="13" l="1"/>
  <c r="F28" i="13"/>
  <c r="E25" i="13"/>
  <c r="F25" i="13"/>
  <c r="G3" i="14"/>
  <c r="D30" i="12"/>
  <c r="E24" i="12"/>
  <c r="F24" i="12"/>
  <c r="E27" i="13"/>
  <c r="F27" i="13"/>
  <c r="I5" i="8"/>
  <c r="D25" i="9"/>
  <c r="G5" i="11" s="1"/>
  <c r="D24" i="13"/>
  <c r="E25" i="10"/>
  <c r="D24" i="10"/>
  <c r="D30" i="10" s="1"/>
  <c r="E28" i="10"/>
  <c r="E27" i="10"/>
  <c r="E26" i="10"/>
  <c r="E29" i="9"/>
  <c r="E28" i="9"/>
  <c r="E27" i="9"/>
  <c r="F25" i="9" l="1"/>
  <c r="E25" i="9"/>
  <c r="H24" i="12"/>
  <c r="F30" i="12"/>
  <c r="G24" i="12"/>
  <c r="G25" i="12" s="1"/>
  <c r="G26" i="12" s="1"/>
  <c r="G27" i="12" s="1"/>
  <c r="G28" i="12" s="1"/>
  <c r="E30" i="12"/>
  <c r="D31" i="9"/>
  <c r="G5" i="14"/>
  <c r="D30" i="13"/>
  <c r="E24" i="13"/>
  <c r="F24" i="13"/>
  <c r="H4" i="14"/>
  <c r="E30" i="10"/>
  <c r="F24" i="10"/>
  <c r="B30" i="10"/>
  <c r="F25" i="10"/>
  <c r="F26" i="10"/>
  <c r="F27" i="10"/>
  <c r="F28" i="10"/>
  <c r="F29" i="9"/>
  <c r="F28" i="9"/>
  <c r="F27" i="9"/>
  <c r="B31" i="9"/>
  <c r="B30" i="6"/>
  <c r="H8" i="4"/>
  <c r="D18" i="4"/>
  <c r="B26" i="4" l="1"/>
  <c r="C26" i="4"/>
  <c r="H3" i="11"/>
  <c r="H5" i="11"/>
  <c r="I24" i="12"/>
  <c r="H25" i="12"/>
  <c r="H24" i="13"/>
  <c r="F30" i="13"/>
  <c r="G24" i="13"/>
  <c r="G25" i="13" s="1"/>
  <c r="G26" i="13" s="1"/>
  <c r="G27" i="13" s="1"/>
  <c r="G28" i="13" s="1"/>
  <c r="E30" i="13"/>
  <c r="G25" i="10"/>
  <c r="G26" i="10" s="1"/>
  <c r="G27" i="10" s="1"/>
  <c r="G28" i="10" s="1"/>
  <c r="C30" i="10"/>
  <c r="E31" i="9"/>
  <c r="G25" i="9"/>
  <c r="G26" i="9" s="1"/>
  <c r="G27" i="9" s="1"/>
  <c r="G28" i="9" s="1"/>
  <c r="G29" i="9" s="1"/>
  <c r="C31" i="9"/>
  <c r="H24" i="10"/>
  <c r="F30" i="10"/>
  <c r="C30" i="6"/>
  <c r="I25" i="12" l="1"/>
  <c r="H26" i="12"/>
  <c r="I24" i="13"/>
  <c r="H25" i="13"/>
  <c r="F31" i="9"/>
  <c r="H25" i="9"/>
  <c r="I24" i="10"/>
  <c r="H25" i="10"/>
  <c r="E32" i="12" l="1"/>
  <c r="D3" i="14" s="1"/>
  <c r="H27" i="12"/>
  <c r="I26" i="12"/>
  <c r="H26" i="13"/>
  <c r="D5" i="14" s="1"/>
  <c r="I25" i="13"/>
  <c r="B25" i="4"/>
  <c r="I25" i="9"/>
  <c r="H26" i="9"/>
  <c r="I25" i="10"/>
  <c r="H26" i="10"/>
  <c r="E32" i="10" s="1"/>
  <c r="D3" i="11" s="1"/>
  <c r="B27" i="4"/>
  <c r="B28" i="4"/>
  <c r="B29" i="4"/>
  <c r="C25" i="4"/>
  <c r="F4" i="11"/>
  <c r="I27" i="12" l="1"/>
  <c r="H28" i="12"/>
  <c r="I26" i="13"/>
  <c r="H27" i="13"/>
  <c r="I26" i="9"/>
  <c r="H27" i="9"/>
  <c r="I26" i="10"/>
  <c r="H27" i="10"/>
  <c r="C28" i="4"/>
  <c r="C29" i="4"/>
  <c r="C27" i="4"/>
  <c r="B31" i="4"/>
  <c r="D5" i="11" l="1"/>
  <c r="H4" i="11"/>
  <c r="I28" i="12"/>
  <c r="I3" i="14"/>
  <c r="J3" i="14" s="1"/>
  <c r="H28" i="13"/>
  <c r="I27" i="13"/>
  <c r="I27" i="9"/>
  <c r="H28" i="9"/>
  <c r="I27" i="10"/>
  <c r="H28" i="10"/>
  <c r="C31" i="4"/>
  <c r="I28" i="10" l="1"/>
  <c r="I3" i="11"/>
  <c r="J3" i="11" s="1"/>
  <c r="I28" i="13"/>
  <c r="I5" i="14"/>
  <c r="J5" i="14" s="1"/>
  <c r="I28" i="9"/>
  <c r="H29" i="9"/>
  <c r="I29" i="9" l="1"/>
  <c r="I5" i="11"/>
  <c r="J5" i="11" s="1"/>
  <c r="F48" i="3"/>
  <c r="I48" i="3" s="1"/>
  <c r="F47" i="3"/>
  <c r="I47" i="3" s="1"/>
  <c r="F54" i="3"/>
  <c r="I54" i="3" s="1"/>
  <c r="C44" i="3"/>
  <c r="F51" i="3"/>
  <c r="I51" i="3" s="1"/>
  <c r="D18" i="6"/>
  <c r="D19" i="4"/>
  <c r="F46" i="3"/>
  <c r="I46" i="3" s="1"/>
  <c r="F52" i="3"/>
  <c r="I52" i="3" s="1"/>
  <c r="F53" i="3"/>
  <c r="I53" i="3" s="1"/>
  <c r="F45" i="3"/>
  <c r="I45" i="3" s="1"/>
  <c r="F55" i="3"/>
  <c r="I55" i="3" s="1"/>
  <c r="D28" i="4" l="1"/>
  <c r="D26" i="4"/>
  <c r="F26" i="4" s="1"/>
  <c r="D25" i="6"/>
  <c r="D27" i="6"/>
  <c r="D16" i="6"/>
  <c r="H16" i="6" s="1"/>
  <c r="D17" i="4"/>
  <c r="H17" i="4" s="1"/>
  <c r="D44" i="3"/>
  <c r="E25" i="6" l="1"/>
  <c r="F25" i="6"/>
  <c r="E26" i="4"/>
  <c r="F28" i="4"/>
  <c r="E28" i="4"/>
  <c r="D29" i="4"/>
  <c r="D27" i="4"/>
  <c r="D26" i="6"/>
  <c r="D28" i="6"/>
  <c r="E27" i="6"/>
  <c r="F27" i="6"/>
  <c r="I44" i="3"/>
  <c r="D24" i="6" s="1"/>
  <c r="D62" i="1"/>
  <c r="E62" i="1"/>
  <c r="F62" i="1"/>
  <c r="G62" i="1"/>
  <c r="I62" i="1" s="1"/>
  <c r="D63" i="1"/>
  <c r="E63" i="1"/>
  <c r="F63" i="1"/>
  <c r="G63" i="1"/>
  <c r="I63" i="1" s="1"/>
  <c r="D64" i="1"/>
  <c r="E64" i="1"/>
  <c r="F64" i="1"/>
  <c r="G64" i="1"/>
  <c r="D65" i="1"/>
  <c r="E65" i="1"/>
  <c r="F65" i="1"/>
  <c r="G65" i="1"/>
  <c r="D67" i="1"/>
  <c r="E67" i="1"/>
  <c r="F67" i="1"/>
  <c r="G67" i="1"/>
  <c r="D68" i="1"/>
  <c r="E68" i="1"/>
  <c r="F68" i="1"/>
  <c r="G68" i="1"/>
  <c r="D69" i="1"/>
  <c r="E69" i="1"/>
  <c r="F69" i="1"/>
  <c r="G69" i="1"/>
  <c r="D70" i="1"/>
  <c r="E70" i="1"/>
  <c r="F70" i="1"/>
  <c r="G70" i="1"/>
  <c r="D71" i="1"/>
  <c r="E71" i="1"/>
  <c r="F71" i="1"/>
  <c r="G71" i="1"/>
  <c r="D72" i="1"/>
  <c r="E72" i="1"/>
  <c r="F72" i="1"/>
  <c r="G72" i="1"/>
  <c r="D73" i="1"/>
  <c r="E73" i="1"/>
  <c r="F73" i="1"/>
  <c r="G73" i="1"/>
  <c r="D74" i="1"/>
  <c r="E74" i="1"/>
  <c r="F74" i="1"/>
  <c r="G74" i="1"/>
  <c r="D75" i="1"/>
  <c r="E75" i="1"/>
  <c r="F75" i="1"/>
  <c r="G75" i="1"/>
  <c r="D76" i="1"/>
  <c r="E76" i="1"/>
  <c r="F76" i="1"/>
  <c r="G76" i="1"/>
  <c r="G61" i="1"/>
  <c r="F61" i="1"/>
  <c r="E61" i="1"/>
  <c r="D61" i="1"/>
  <c r="G4" i="14" l="1"/>
  <c r="F27" i="4"/>
  <c r="E27" i="4"/>
  <c r="D25" i="4"/>
  <c r="G4" i="11" s="1"/>
  <c r="F29" i="4"/>
  <c r="E29" i="4"/>
  <c r="E28" i="6"/>
  <c r="F28" i="6"/>
  <c r="E26" i="6"/>
  <c r="F26" i="6"/>
  <c r="D7" i="1"/>
  <c r="E7" i="1"/>
  <c r="F7" i="1"/>
  <c r="G7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I12" i="1" s="1"/>
  <c r="D13" i="1"/>
  <c r="E13" i="1"/>
  <c r="F13" i="1"/>
  <c r="G13" i="1"/>
  <c r="I13" i="1" s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3" i="1"/>
  <c r="E33" i="1"/>
  <c r="F33" i="1"/>
  <c r="G33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F39" i="1"/>
  <c r="G39" i="1"/>
  <c r="D40" i="1"/>
  <c r="E40" i="1"/>
  <c r="F40" i="1"/>
  <c r="G40" i="1"/>
  <c r="D41" i="1"/>
  <c r="E41" i="1"/>
  <c r="F41" i="1"/>
  <c r="G41" i="1"/>
  <c r="D42" i="1"/>
  <c r="E42" i="1"/>
  <c r="F42" i="1"/>
  <c r="G42" i="1"/>
  <c r="D43" i="1"/>
  <c r="E43" i="1"/>
  <c r="F43" i="1"/>
  <c r="G43" i="1"/>
  <c r="I43" i="1" s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8" i="1"/>
  <c r="E48" i="1"/>
  <c r="F48" i="1"/>
  <c r="G48" i="1"/>
  <c r="I48" i="1" s="1"/>
  <c r="D49" i="1"/>
  <c r="E49" i="1"/>
  <c r="F49" i="1"/>
  <c r="G49" i="1"/>
  <c r="I49" i="1" s="1"/>
  <c r="D50" i="1"/>
  <c r="E50" i="1"/>
  <c r="F50" i="1"/>
  <c r="G50" i="1"/>
  <c r="D51" i="1"/>
  <c r="E51" i="1"/>
  <c r="F51" i="1"/>
  <c r="G51" i="1"/>
  <c r="I51" i="1" s="1"/>
  <c r="D52" i="1"/>
  <c r="E52" i="1"/>
  <c r="F52" i="1"/>
  <c r="G52" i="1"/>
  <c r="D53" i="1"/>
  <c r="E53" i="1"/>
  <c r="F53" i="1"/>
  <c r="G53" i="1"/>
  <c r="D54" i="1"/>
  <c r="E54" i="1"/>
  <c r="F54" i="1"/>
  <c r="G54" i="1"/>
  <c r="D55" i="1"/>
  <c r="E55" i="1"/>
  <c r="F55" i="1"/>
  <c r="G55" i="1"/>
  <c r="D56" i="1"/>
  <c r="E56" i="1"/>
  <c r="F56" i="1"/>
  <c r="G56" i="1"/>
  <c r="D57" i="1"/>
  <c r="E57" i="1"/>
  <c r="F57" i="1"/>
  <c r="G57" i="1"/>
  <c r="D58" i="1"/>
  <c r="E58" i="1"/>
  <c r="F58" i="1"/>
  <c r="G58" i="1"/>
  <c r="I58" i="1" s="1"/>
  <c r="D59" i="1"/>
  <c r="E59" i="1"/>
  <c r="F59" i="1"/>
  <c r="G59" i="1"/>
  <c r="G5" i="1"/>
  <c r="F5" i="1"/>
  <c r="E5" i="1"/>
  <c r="D5" i="1"/>
  <c r="F6" i="1"/>
  <c r="Q8" i="1"/>
  <c r="I77" i="1" l="1"/>
  <c r="F8" i="1"/>
  <c r="C8" i="1"/>
  <c r="F25" i="4"/>
  <c r="E25" i="4"/>
  <c r="E24" i="6"/>
  <c r="F24" i="6"/>
  <c r="D30" i="6"/>
  <c r="D31" i="4"/>
  <c r="G8" i="1"/>
  <c r="E8" i="1"/>
  <c r="E6" i="1"/>
  <c r="D8" i="1"/>
  <c r="D6" i="1"/>
  <c r="G6" i="1"/>
  <c r="F31" i="4" l="1"/>
  <c r="H25" i="4"/>
  <c r="G25" i="4"/>
  <c r="G26" i="4" s="1"/>
  <c r="G27" i="4" s="1"/>
  <c r="G28" i="4" s="1"/>
  <c r="G29" i="4" s="1"/>
  <c r="E31" i="4"/>
  <c r="G24" i="6"/>
  <c r="G25" i="6" s="1"/>
  <c r="G26" i="6" s="1"/>
  <c r="G27" i="6" s="1"/>
  <c r="G28" i="6" s="1"/>
  <c r="E30" i="6"/>
  <c r="H24" i="6"/>
  <c r="F30" i="6"/>
  <c r="I24" i="6" l="1"/>
  <c r="H25" i="6"/>
  <c r="H26" i="4"/>
  <c r="I25" i="4"/>
  <c r="I25" i="6" l="1"/>
  <c r="H26" i="6"/>
  <c r="E32" i="6" s="1"/>
  <c r="D4" i="14" s="1"/>
  <c r="H27" i="4"/>
  <c r="E33" i="4" s="1"/>
  <c r="I26" i="4"/>
  <c r="D4" i="11" l="1"/>
  <c r="I26" i="6"/>
  <c r="H27" i="6"/>
  <c r="H28" i="4"/>
  <c r="I27" i="4"/>
  <c r="H28" i="6" l="1"/>
  <c r="I27" i="6"/>
  <c r="I28" i="4"/>
  <c r="H29" i="4"/>
  <c r="I29" i="4" l="1"/>
  <c r="I4" i="11"/>
  <c r="J4" i="11" s="1"/>
  <c r="I28" i="6"/>
  <c r="I4" i="14"/>
  <c r="J4" i="14" s="1"/>
  <c r="E44" i="3" l="1"/>
  <c r="F44" i="3"/>
</calcChain>
</file>

<file path=xl/comments1.xml><?xml version="1.0" encoding="utf-8"?>
<comments xmlns="http://schemas.openxmlformats.org/spreadsheetml/2006/main">
  <authors>
    <author>Klaas Vinckier</author>
  </authors>
  <commentList>
    <comment ref="R45" authorId="0" shapeId="0">
      <text>
        <r>
          <rPr>
            <b/>
            <sz val="9"/>
            <color indexed="81"/>
            <rFont val="Calibri"/>
            <family val="2"/>
          </rPr>
          <t>Klaas Vinckier:</t>
        </r>
        <r>
          <rPr>
            <sz val="9"/>
            <color indexed="81"/>
            <rFont val="Calibri"/>
            <family val="2"/>
          </rPr>
          <t xml:space="preserve">
zit mogelijk meer in dan uitzuigen --&gt; ook verzorgen. Moeilijk uit die observatie af te leiden
</t>
        </r>
      </text>
    </comment>
  </commentList>
</comments>
</file>

<file path=xl/sharedStrings.xml><?xml version="1.0" encoding="utf-8"?>
<sst xmlns="http://schemas.openxmlformats.org/spreadsheetml/2006/main" count="970" uniqueCount="320">
  <si>
    <t>Verzorgende taken</t>
  </si>
  <si>
    <t xml:space="preserve">ADL Ochtend - Kort (lichte inspanning) </t>
  </si>
  <si>
    <t xml:space="preserve">ADL Ochtend - Gemiddeld (middelzware inspanning) </t>
  </si>
  <si>
    <t xml:space="preserve">ADL Ochtend  - Lang (zware inspanning) </t>
  </si>
  <si>
    <t>Wisselligging</t>
  </si>
  <si>
    <t>Patiënt van en naar toilet brengen / toezien op</t>
  </si>
  <si>
    <t>Patiënt verschonen</t>
  </si>
  <si>
    <t>Patiënt mobiliseren - zonder tillift</t>
  </si>
  <si>
    <t>Patiënt mobiliseren - met passieve tillift</t>
  </si>
  <si>
    <t>Patiënt mobiliseren - met actieve tillift</t>
  </si>
  <si>
    <t>Patiënt gereedmaken voor transfer</t>
  </si>
  <si>
    <t>Transfer van/naar AOK</t>
  </si>
  <si>
    <t>Transfer van/naar OBC (vanaf OBC VPA)</t>
  </si>
  <si>
    <t>Transfer begeleiden voor andere afdeling</t>
  </si>
  <si>
    <t>Aanschakelen van patient na OK</t>
  </si>
  <si>
    <t>Medicatie</t>
  </si>
  <si>
    <t>Medicatie ronde ( 5- 8 patiënten)</t>
  </si>
  <si>
    <t>Medicatie klaarzetten/aanreiken</t>
  </si>
  <si>
    <t>IV medicatie ophalen &amp; controleren</t>
  </si>
  <si>
    <t>Klaarmaken medicatie (waarvan niet mogelijk bij apotheek)</t>
  </si>
  <si>
    <t>Toedienen  van de medicatie / toezien  op - IV</t>
  </si>
  <si>
    <t>Toedienen  van de medicatie / toezien  op - Sonde</t>
  </si>
  <si>
    <t>Opname en Ontslag</t>
  </si>
  <si>
    <t>Opname en ontslag</t>
  </si>
  <si>
    <t>Opname op afdeling</t>
  </si>
  <si>
    <t>Spoedopname op afdeling</t>
  </si>
  <si>
    <t>Ontslag regelen Shortstay/OBC</t>
  </si>
  <si>
    <t>Ontslag regelen Klinieken</t>
  </si>
  <si>
    <t>Gesprek met Transferpunt coordinator</t>
  </si>
  <si>
    <t>Voorbehouden handelingen</t>
  </si>
  <si>
    <t>EWS Score</t>
  </si>
  <si>
    <t>EMV controle</t>
  </si>
  <si>
    <t>Pupil controle</t>
  </si>
  <si>
    <t>Meelopen met de arts (artsenvisite)</t>
  </si>
  <si>
    <t>Injecteren</t>
  </si>
  <si>
    <t>Katheteriseren</t>
  </si>
  <si>
    <t>Bloedsuikergehalte meten</t>
  </si>
  <si>
    <t>Sondevoeding toedienen - Continue</t>
  </si>
  <si>
    <t>Sondevoeding toedienen - Bolus</t>
  </si>
  <si>
    <t>Wondverzorging licht</t>
  </si>
  <si>
    <t>Wondverzorging zwaar (zoals vacuumpomp)</t>
  </si>
  <si>
    <t>Bloeddruk meten</t>
  </si>
  <si>
    <t>Canule/mondholte uitzuigen</t>
  </si>
  <si>
    <t>Canule verwisselen/verzorgen</t>
  </si>
  <si>
    <t>Drain verwijderen</t>
  </si>
  <si>
    <t>Infuus inbrengen (naar holding gaan)</t>
  </si>
  <si>
    <t>Infuus inbrengen (op afdeling)</t>
  </si>
  <si>
    <t>Infuus uithalen</t>
  </si>
  <si>
    <t>Spuitpomp verwisselen (incl. klaarmaken)</t>
  </si>
  <si>
    <t>Lange lijn verzorgen</t>
  </si>
  <si>
    <t>Infuuslijnen vervangen</t>
  </si>
  <si>
    <t>Infuuszak verwisselen</t>
  </si>
  <si>
    <t>Katheterzak/stoma legen</t>
  </si>
  <si>
    <t>Urimeter legen</t>
  </si>
  <si>
    <t>Bijvullen wondmateriaal</t>
  </si>
  <si>
    <t>Bladderscannen</t>
  </si>
  <si>
    <t xml:space="preserve">Wegen </t>
  </si>
  <si>
    <t>Neuro chirurgie</t>
  </si>
  <si>
    <t>Afdelingsspecifieke handelingen</t>
  </si>
  <si>
    <t>Fixatie - Hewitt Brace</t>
  </si>
  <si>
    <t>Fixatie - Vista Kraag</t>
  </si>
  <si>
    <t>Short Stay</t>
  </si>
  <si>
    <t>Mammacare Opname</t>
  </si>
  <si>
    <t>Mamma prothese aanmeten</t>
  </si>
  <si>
    <t>Min</t>
  </si>
  <si>
    <t>Max</t>
  </si>
  <si>
    <t xml:space="preserve">Gemiddeld </t>
  </si>
  <si>
    <t>Mediaan</t>
  </si>
  <si>
    <t>Categorie</t>
  </si>
  <si>
    <t>Omschrijving</t>
  </si>
  <si>
    <t>Overig</t>
  </si>
  <si>
    <t>Overige taken</t>
  </si>
  <si>
    <t>Overdracht dag-avond (per overdracht)</t>
  </si>
  <si>
    <t>Lezen van de rapportages (per patient)</t>
  </si>
  <si>
    <t>Rapporteren</t>
  </si>
  <si>
    <t>Uitwerken OK</t>
  </si>
  <si>
    <t>Beantwoorden van email</t>
  </si>
  <si>
    <t>Beantwoorden van telefoon</t>
  </si>
  <si>
    <t>Roosters corrigeren</t>
  </si>
  <si>
    <t>Teamvergadering</t>
  </si>
  <si>
    <t>Patiënt gebonden overleg met collega</t>
  </si>
  <si>
    <t>Meting 1</t>
  </si>
  <si>
    <t>min</t>
  </si>
  <si>
    <t>Meting 2</t>
  </si>
  <si>
    <t>Meting 3</t>
  </si>
  <si>
    <t>Meting 4</t>
  </si>
  <si>
    <t>Meting 5</t>
  </si>
  <si>
    <t>Meting 6</t>
  </si>
  <si>
    <t>Meting 7</t>
  </si>
  <si>
    <t>Meting 8</t>
  </si>
  <si>
    <t>Meting 9</t>
  </si>
  <si>
    <t>Meting 10</t>
  </si>
  <si>
    <t>Meting 11</t>
  </si>
  <si>
    <t>Meting 12</t>
  </si>
  <si>
    <t>Meting 13</t>
  </si>
  <si>
    <t>Meting 14</t>
  </si>
  <si>
    <t>Meting 15</t>
  </si>
  <si>
    <t>Meting 16</t>
  </si>
  <si>
    <t>Meting 17</t>
  </si>
  <si>
    <t>Meting 18</t>
  </si>
  <si>
    <t>Meting 19</t>
  </si>
  <si>
    <t>Meting 20</t>
  </si>
  <si>
    <t>Meting 21</t>
  </si>
  <si>
    <t>Overdracht nacht-dag (per overdracht)</t>
  </si>
  <si>
    <t>Arbeid</t>
  </si>
  <si>
    <t>Hoeveelheid units</t>
  </si>
  <si>
    <t>Kosten per unit (inc. BTW)</t>
  </si>
  <si>
    <t>Totaal kosten</t>
  </si>
  <si>
    <t>MST</t>
  </si>
  <si>
    <t>Tracqtion</t>
  </si>
  <si>
    <t>Kosten</t>
  </si>
  <si>
    <t>Totaal</t>
  </si>
  <si>
    <t>Fase</t>
  </si>
  <si>
    <t>Onderdeel</t>
  </si>
  <si>
    <t>Instructie (gafeseerd per afdeling)</t>
  </si>
  <si>
    <t>Algemeen project</t>
  </si>
  <si>
    <t>4.1</t>
  </si>
  <si>
    <t>Opstellen personeelslijst en inplannen instructie</t>
  </si>
  <si>
    <t>1.1</t>
  </si>
  <si>
    <t>Detail projectplanning</t>
  </si>
  <si>
    <t>4.2</t>
  </si>
  <si>
    <t>Voorbereiding instructie</t>
  </si>
  <si>
    <t>1.2</t>
  </si>
  <si>
    <t>Protocollen tbv voorbereiding validatie en projectbegeleiding</t>
  </si>
  <si>
    <t>4.3</t>
  </si>
  <si>
    <t>Uivoering training en instructie</t>
  </si>
  <si>
    <t>1.3</t>
  </si>
  <si>
    <t>Overleg</t>
  </si>
  <si>
    <t>4.4</t>
  </si>
  <si>
    <t>Inrichten functioneel beheer</t>
  </si>
  <si>
    <t>1.4</t>
  </si>
  <si>
    <t>Communicatie</t>
  </si>
  <si>
    <t>1.5</t>
  </si>
  <si>
    <t>Verslaglegging</t>
  </si>
  <si>
    <t>Go-live en ondersteuning</t>
  </si>
  <si>
    <t>1.6</t>
  </si>
  <si>
    <t>Vastlegging resultaten en ontwerp vervolg</t>
  </si>
  <si>
    <t>5.1</t>
  </si>
  <si>
    <t>Begeleiding en consultancy</t>
  </si>
  <si>
    <t>5.2</t>
  </si>
  <si>
    <t>Ontwerpen en inrichten operationele processen</t>
  </si>
  <si>
    <t>Techniek</t>
  </si>
  <si>
    <t>5.3</t>
  </si>
  <si>
    <t>Bijhouden vragen en verstoringen</t>
  </si>
  <si>
    <t>2.1</t>
  </si>
  <si>
    <t>Softwarelicentie TracQtion</t>
  </si>
  <si>
    <t>5.4</t>
  </si>
  <si>
    <t>Stand by voor aanvullendende instructie</t>
  </si>
  <si>
    <t>2.2</t>
  </si>
  <si>
    <t>5.5</t>
  </si>
  <si>
    <t>Afhandelen vragen en verstoringen</t>
  </si>
  <si>
    <t>2.3</t>
  </si>
  <si>
    <t>Remote control unit</t>
  </si>
  <si>
    <t>2.4</t>
  </si>
  <si>
    <t>Passieve RFID reader</t>
  </si>
  <si>
    <t>2.5</t>
  </si>
  <si>
    <t>Passieve RFID antenne</t>
  </si>
  <si>
    <t>2.6</t>
  </si>
  <si>
    <t>Installatie smart-spots</t>
  </si>
  <si>
    <t>BTW tarief</t>
  </si>
  <si>
    <t>2.7</t>
  </si>
  <si>
    <t>Koppeling Ekahau</t>
  </si>
  <si>
    <t>2.8</t>
  </si>
  <si>
    <t>Koppeling met Ultimo, CSA-software</t>
  </si>
  <si>
    <t>TBA</t>
  </si>
  <si>
    <t>2.9</t>
  </si>
  <si>
    <t>Testen, accepteren, opleveren, overdracht applicatiebeheer</t>
  </si>
  <si>
    <t>Identificatie en tags apparaten</t>
  </si>
  <si>
    <t>3.1</t>
  </si>
  <si>
    <t>Wifi tags voor</t>
  </si>
  <si>
    <t>3.1.1</t>
  </si>
  <si>
    <t>Matrassen / pompen</t>
  </si>
  <si>
    <t>3.1.2</t>
  </si>
  <si>
    <t>Tilliften</t>
  </si>
  <si>
    <t>3.1.3</t>
  </si>
  <si>
    <t>Patient monitoring systems</t>
  </si>
  <si>
    <t>3.1.4</t>
  </si>
  <si>
    <t>Bedden</t>
  </si>
  <si>
    <t>3.1.5</t>
  </si>
  <si>
    <t>Rolstoelen</t>
  </si>
  <si>
    <t>3.1.6</t>
  </si>
  <si>
    <t>Nachtkastjes</t>
  </si>
  <si>
    <t>3.2</t>
  </si>
  <si>
    <t>Passieve RFID Tags</t>
  </si>
  <si>
    <t>3.2.1</t>
  </si>
  <si>
    <t>Infuus- en voedingspompen</t>
  </si>
  <si>
    <t>3.2.2</t>
  </si>
  <si>
    <t>Onderdelen van rolstoelen</t>
  </si>
  <si>
    <t>3.2.3</t>
  </si>
  <si>
    <t>OK-tafel onderdelen</t>
  </si>
  <si>
    <t>3.2.4</t>
  </si>
  <si>
    <t>Starre scopen</t>
  </si>
  <si>
    <t>3.3</t>
  </si>
  <si>
    <t>Passieve RFID T&amp;T, instrumenten en netten</t>
  </si>
  <si>
    <t>3.4</t>
  </si>
  <si>
    <t>Identificatie en localisering te taggen apparatuur</t>
  </si>
  <si>
    <t>3.5</t>
  </si>
  <si>
    <t>Validatie en plaatsen van tags en administreren</t>
  </si>
  <si>
    <t>OK/HCK</t>
  </si>
  <si>
    <t>Obv aanname</t>
  </si>
  <si>
    <t>Verpleging</t>
  </si>
  <si>
    <t>Kosten per jaar</t>
  </si>
  <si>
    <t>Jaarlijkse kosten (incl BTW):</t>
  </si>
  <si>
    <t>- Herinvestering refurbished wifi-tags (om de 2 jaar)</t>
  </si>
  <si>
    <t>- Beheervergoeding TracQtion-platform</t>
  </si>
  <si>
    <t>- Beheervergoeding Ekahau</t>
  </si>
  <si>
    <t>Opbrengsten</t>
  </si>
  <si>
    <t>Per jaar</t>
  </si>
  <si>
    <t>Resultaat/jr</t>
  </si>
  <si>
    <t>Absoluut (verwacht)</t>
  </si>
  <si>
    <t>Absoluut (aanname)</t>
  </si>
  <si>
    <t>Kosten per persoon per jaar</t>
  </si>
  <si>
    <t>Aanname werkelijke besparing</t>
  </si>
  <si>
    <t>Absolute kosten per 2 jaar:</t>
  </si>
  <si>
    <t>Afname zoektijden</t>
  </si>
  <si>
    <t>Overige besparingen (aannames)</t>
  </si>
  <si>
    <t>Aanname: refurbished kost 50% van nieuw</t>
  </si>
  <si>
    <t>Verwacht</t>
  </si>
  <si>
    <t>Cummulatief resultaat</t>
  </si>
  <si>
    <t>Aanname</t>
  </si>
  <si>
    <t>Absoluut (per jaar)</t>
  </si>
  <si>
    <t>Resultaat per jaar</t>
  </si>
  <si>
    <t>Aantal FTE in dienst</t>
  </si>
  <si>
    <t>Kosten-/batenanalyse</t>
  </si>
  <si>
    <t>Percentage besparing op 8-urige dienst</t>
  </si>
  <si>
    <t xml:space="preserve">Gemiddeld per jaar: </t>
  </si>
  <si>
    <t>Beginsalaris schaal</t>
  </si>
  <si>
    <t>Functiegroep (salarisschaal)</t>
  </si>
  <si>
    <t>- Besparing zoektijden onderhoudscyclus</t>
  </si>
  <si>
    <t>Ingeschatte besparing:</t>
  </si>
  <si>
    <t>Loonschaal junior technici</t>
  </si>
  <si>
    <t>Besparing per jaar</t>
  </si>
  <si>
    <t>- Activering vermiste apparaten (eenmalig)</t>
  </si>
  <si>
    <t>Ingeschatte boekwaarde</t>
  </si>
  <si>
    <t>Besparing in FTE per jaar</t>
  </si>
  <si>
    <t>Verwachte besparing in Euro's per jaar</t>
  </si>
  <si>
    <t>Hoeveelheid bloedzakken per jaar</t>
  </si>
  <si>
    <t>Prijs per bloedzak</t>
  </si>
  <si>
    <t xml:space="preserve">Geschatte verspilling per jaar </t>
  </si>
  <si>
    <t>Mogelijke besparing</t>
  </si>
  <si>
    <t xml:space="preserve"> 1 FTE per 6 weken</t>
  </si>
  <si>
    <t>minuten</t>
  </si>
  <si>
    <t>Kosten (aanschaf)</t>
  </si>
  <si>
    <t>Benodigd aantal tags</t>
  </si>
  <si>
    <t>Kosten per tag</t>
  </si>
  <si>
    <t>Besparing per cyclus</t>
  </si>
  <si>
    <t>Geschatte extra werktijd</t>
  </si>
  <si>
    <t>1 persoon, 8 uur per maand</t>
  </si>
  <si>
    <t>Salaris werknemer</t>
  </si>
  <si>
    <t>Geschat aantal verspilde bloedzakken p/j</t>
  </si>
  <si>
    <t>Terugverdientijd tags in maanden</t>
  </si>
  <si>
    <t>Training werknemers (eenmalig, 3 werknemers, 4 uur)</t>
  </si>
  <si>
    <t>Mondverzorging</t>
  </si>
  <si>
    <t xml:space="preserve">Target besparing voor break-even na 3 jaar: </t>
  </si>
  <si>
    <t>minuten per dag</t>
  </si>
  <si>
    <t>Frequency</t>
  </si>
  <si>
    <t>Passieve tags voor</t>
  </si>
  <si>
    <t>3.1.7</t>
  </si>
  <si>
    <t>3.1.8</t>
  </si>
  <si>
    <t>3.1.9</t>
  </si>
  <si>
    <t>3.1.10</t>
  </si>
  <si>
    <t>Softwarelicenties Ekahau (per tag)</t>
  </si>
  <si>
    <t xml:space="preserve"> 0,5 FTE per 6 weken</t>
  </si>
  <si>
    <t>Voorkomen verspilling</t>
  </si>
  <si>
    <t>Sum</t>
  </si>
  <si>
    <t>Zuurstofpompen</t>
  </si>
  <si>
    <t>Anti-decubitus matrassen</t>
  </si>
  <si>
    <t>Bruto kosten MST per dag</t>
  </si>
  <si>
    <t>Dagen inzet</t>
  </si>
  <si>
    <t>Netto kosten Tracqtion per persoon per dag</t>
  </si>
  <si>
    <t>Bruto kosten Tracqtion per persoon per dag</t>
  </si>
  <si>
    <t>Benodigde extra RFID antennes</t>
  </si>
  <si>
    <t>Kosten antennes</t>
  </si>
  <si>
    <t>Benodigde extra RFID readers</t>
  </si>
  <si>
    <t>Ver</t>
  </si>
  <si>
    <t>Verwachte break-even tijd</t>
  </si>
  <si>
    <t>jaar</t>
  </si>
  <si>
    <t>Passive</t>
  </si>
  <si>
    <t xml:space="preserve">Hybrid </t>
  </si>
  <si>
    <t>Active</t>
  </si>
  <si>
    <t>Required saved time to run break-even in 3 years</t>
  </si>
  <si>
    <t>Technology used</t>
  </si>
  <si>
    <t>Break-even time with the expected saved time</t>
  </si>
  <si>
    <t>Return on investment after 5 years</t>
  </si>
  <si>
    <t>Rate of return after 5 years</t>
  </si>
  <si>
    <t>Total investment over 5 years</t>
  </si>
  <si>
    <t>Total gains over 5 years</t>
  </si>
  <si>
    <t>Totale eenmalige investering</t>
  </si>
  <si>
    <t>Hybrid</t>
  </si>
  <si>
    <t>Technology used + waste reduction</t>
  </si>
  <si>
    <t>Expected saved FTE per year</t>
  </si>
  <si>
    <t>Break-even time with the expected saved time (in years)</t>
  </si>
  <si>
    <t>Required saved time to run break-even in 3 years (in minutes)</t>
  </si>
  <si>
    <t>Zoektijdbesparing per dag in minuten</t>
  </si>
  <si>
    <t>Caring tasks</t>
  </si>
  <si>
    <t>Admissions</t>
  </si>
  <si>
    <t>Preparation actions</t>
  </si>
  <si>
    <t>Neuro-surgery</t>
  </si>
  <si>
    <t>Fixation through  Vista brace</t>
  </si>
  <si>
    <t>Fixation through Hewitt brace</t>
  </si>
  <si>
    <t>Bladder scanning</t>
  </si>
  <si>
    <t>Changing syringe pumps</t>
  </si>
  <si>
    <t>Administer infusions (through holdings)</t>
  </si>
  <si>
    <t>Administer infusions (at department)</t>
  </si>
  <si>
    <t>Emergency admissions</t>
  </si>
  <si>
    <t>Hospitalizations</t>
  </si>
  <si>
    <t>Mobilizing patients - with passive lifter</t>
  </si>
  <si>
    <t>Mobilizing patients - with active lifter</t>
  </si>
  <si>
    <t>Average</t>
  </si>
  <si>
    <t>Median</t>
  </si>
  <si>
    <t>Heavy wound care (through the use of pumps)</t>
  </si>
  <si>
    <t>All times in minutes</t>
  </si>
  <si>
    <t>Category</t>
  </si>
  <si>
    <t>Description</t>
  </si>
  <si>
    <t>Surplus</t>
  </si>
  <si>
    <t>Total</t>
  </si>
  <si>
    <t>Realistische besparing (20%) / jaar</t>
  </si>
  <si>
    <t>Surplus percentage</t>
  </si>
  <si>
    <t>Besparing percentage technologie</t>
  </si>
  <si>
    <t>Aanname werkelijke jaarlijkse besparing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</si>
</sst>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€&quot;\ * #,##0.00_ ;_ &quot;€&quot;\ * \-#,##0.00_ ;_ &quot;€&quot;\ * &quot;-&quot;??_ ;_ @_ "/>
    <numFmt numFmtId="164" formatCode="&quot;€&quot;\ #,##0.00"/>
    <numFmt numFmtId="165" formatCode="#,##0.0"/>
    <numFmt numFmtId="166" formatCode="&quot;€&quot;\ #,##0"/>
    <numFmt numFmtId="167" formatCode="0.0"/>
    <numFmt numFmtId="168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9">
    <xf numFmtId="0" fontId="0" fillId="0" borderId="0" xfId="0"/>
    <xf numFmtId="0" fontId="2" fillId="2" borderId="5" xfId="1" applyFont="1" applyFill="1" applyBorder="1" applyAlignment="1" applyProtection="1">
      <alignment horizontal="left" vertical="center" indent="1"/>
      <protection hidden="1"/>
    </xf>
    <xf numFmtId="0" fontId="3" fillId="0" borderId="5" xfId="1" applyFont="1" applyBorder="1" applyAlignment="1" applyProtection="1">
      <alignment horizontal="left" vertical="center" indent="1"/>
      <protection hidden="1"/>
    </xf>
    <xf numFmtId="0" fontId="3" fillId="0" borderId="9" xfId="1" applyFont="1" applyBorder="1" applyAlignment="1" applyProtection="1">
      <alignment horizontal="left" vertical="center" indent="1"/>
      <protection hidden="1"/>
    </xf>
    <xf numFmtId="0" fontId="3" fillId="0" borderId="10" xfId="1" applyFont="1" applyFill="1" applyBorder="1" applyAlignment="1" applyProtection="1">
      <alignment vertical="center"/>
      <protection hidden="1"/>
    </xf>
    <xf numFmtId="0" fontId="3" fillId="2" borderId="7" xfId="1" applyFont="1" applyFill="1" applyBorder="1" applyAlignment="1" applyProtection="1">
      <alignment vertical="center"/>
      <protection hidden="1"/>
    </xf>
    <xf numFmtId="0" fontId="3" fillId="0" borderId="7" xfId="1" applyFont="1" applyFill="1" applyBorder="1" applyAlignment="1" applyProtection="1">
      <alignment vertical="center"/>
      <protection hidden="1"/>
    </xf>
    <xf numFmtId="0" fontId="3" fillId="0" borderId="7" xfId="1" applyFont="1" applyFill="1" applyBorder="1" applyProtection="1">
      <protection hidden="1"/>
    </xf>
    <xf numFmtId="0" fontId="3" fillId="0" borderId="12" xfId="1" applyFont="1" applyFill="1" applyBorder="1" applyProtection="1"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7" fillId="2" borderId="6" xfId="0" applyFont="1" applyFill="1" applyBorder="1" applyAlignment="1" applyProtection="1">
      <alignment vertical="center"/>
      <protection hidden="1"/>
    </xf>
    <xf numFmtId="0" fontId="7" fillId="0" borderId="6" xfId="0" applyFont="1" applyFill="1" applyBorder="1" applyProtection="1">
      <protection hidden="1"/>
    </xf>
    <xf numFmtId="0" fontId="7" fillId="0" borderId="8" xfId="0" applyFont="1" applyFill="1" applyBorder="1" applyProtection="1">
      <protection hidden="1"/>
    </xf>
    <xf numFmtId="0" fontId="3" fillId="0" borderId="13" xfId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3" fillId="0" borderId="14" xfId="1" applyFont="1" applyFill="1" applyBorder="1" applyAlignment="1" applyProtection="1">
      <alignment vertical="center"/>
      <protection hidden="1"/>
    </xf>
    <xf numFmtId="0" fontId="3" fillId="0" borderId="15" xfId="1" applyFont="1" applyFill="1" applyBorder="1" applyAlignment="1" applyProtection="1">
      <alignment vertical="center"/>
      <protection hidden="1"/>
    </xf>
    <xf numFmtId="0" fontId="8" fillId="0" borderId="0" xfId="0" applyFont="1"/>
    <xf numFmtId="0" fontId="8" fillId="0" borderId="14" xfId="0" applyFont="1" applyBorder="1"/>
    <xf numFmtId="2" fontId="8" fillId="0" borderId="0" xfId="0" applyNumberFormat="1" applyFont="1"/>
    <xf numFmtId="0" fontId="8" fillId="0" borderId="11" xfId="0" applyFont="1" applyBorder="1"/>
    <xf numFmtId="0" fontId="3" fillId="0" borderId="16" xfId="1" applyFont="1" applyBorder="1" applyAlignment="1" applyProtection="1">
      <alignment horizontal="left" vertical="center" indent="1"/>
      <protection hidden="1"/>
    </xf>
    <xf numFmtId="0" fontId="2" fillId="0" borderId="0" xfId="1" applyFont="1" applyBorder="1" applyAlignment="1" applyProtection="1">
      <alignment horizontal="center" vertical="center" textRotation="90" wrapText="1"/>
      <protection hidden="1"/>
    </xf>
    <xf numFmtId="0" fontId="3" fillId="0" borderId="0" xfId="1" applyFont="1" applyFill="1" applyBorder="1" applyAlignment="1" applyProtection="1">
      <alignment horizontal="left" vertical="center" indent="1"/>
      <protection hidden="1"/>
    </xf>
    <xf numFmtId="0" fontId="8" fillId="0" borderId="0" xfId="0" applyFont="1" applyBorder="1"/>
    <xf numFmtId="2" fontId="8" fillId="0" borderId="0" xfId="0" applyNumberFormat="1" applyFont="1" applyBorder="1"/>
    <xf numFmtId="0" fontId="7" fillId="0" borderId="0" xfId="0" applyFont="1" applyFill="1" applyBorder="1" applyAlignment="1" applyProtection="1">
      <alignment vertical="center"/>
      <protection hidden="1"/>
    </xf>
    <xf numFmtId="0" fontId="2" fillId="0" borderId="0" xfId="1" applyFont="1" applyBorder="1" applyAlignment="1" applyProtection="1">
      <alignment vertical="center" textRotation="90" wrapText="1"/>
      <protection hidden="1"/>
    </xf>
    <xf numFmtId="0" fontId="3" fillId="0" borderId="0" xfId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3" fillId="0" borderId="0" xfId="1" applyFont="1" applyBorder="1" applyAlignment="1" applyProtection="1">
      <alignment horizontal="left" vertical="center" indent="1"/>
      <protection hidden="1"/>
    </xf>
    <xf numFmtId="0" fontId="6" fillId="0" borderId="17" xfId="1" applyFont="1" applyBorder="1" applyAlignment="1" applyProtection="1">
      <alignment horizontal="left" vertical="center" indent="1"/>
      <protection hidden="1"/>
    </xf>
    <xf numFmtId="0" fontId="8" fillId="0" borderId="19" xfId="0" applyFont="1" applyBorder="1"/>
    <xf numFmtId="0" fontId="3" fillId="0" borderId="20" xfId="1" applyFont="1" applyFill="1" applyBorder="1" applyAlignment="1" applyProtection="1">
      <alignment vertical="center"/>
      <protection hidden="1"/>
    </xf>
    <xf numFmtId="0" fontId="3" fillId="2" borderId="10" xfId="1" applyFont="1" applyFill="1" applyBorder="1" applyAlignment="1" applyProtection="1">
      <alignment vertical="center"/>
      <protection hidden="1"/>
    </xf>
    <xf numFmtId="0" fontId="3" fillId="0" borderId="10" xfId="1" applyFont="1" applyFill="1" applyBorder="1" applyProtection="1">
      <protection hidden="1"/>
    </xf>
    <xf numFmtId="0" fontId="3" fillId="0" borderId="23" xfId="1" applyFont="1" applyFill="1" applyBorder="1" applyProtection="1">
      <protection hidden="1"/>
    </xf>
    <xf numFmtId="0" fontId="3" fillId="2" borderId="26" xfId="1" applyFont="1" applyFill="1" applyBorder="1" applyAlignment="1" applyProtection="1">
      <alignment vertical="center"/>
      <protection hidden="1"/>
    </xf>
    <xf numFmtId="0" fontId="8" fillId="2" borderId="4" xfId="0" applyFont="1" applyFill="1" applyBorder="1"/>
    <xf numFmtId="0" fontId="3" fillId="0" borderId="16" xfId="1" applyFont="1" applyFill="1" applyBorder="1" applyAlignment="1" applyProtection="1">
      <alignment horizontal="left" vertical="center" indent="1"/>
      <protection hidden="1"/>
    </xf>
    <xf numFmtId="0" fontId="3" fillId="0" borderId="2" xfId="1" applyFont="1" applyBorder="1" applyAlignment="1" applyProtection="1">
      <alignment horizontal="left" vertical="center" indent="1"/>
      <protection hidden="1"/>
    </xf>
    <xf numFmtId="2" fontId="8" fillId="2" borderId="4" xfId="0" applyNumberFormat="1" applyFont="1" applyFill="1" applyBorder="1"/>
    <xf numFmtId="0" fontId="3" fillId="0" borderId="27" xfId="1" applyFont="1" applyFill="1" applyBorder="1" applyAlignment="1" applyProtection="1">
      <alignment vertical="center"/>
      <protection hidden="1"/>
    </xf>
    <xf numFmtId="0" fontId="3" fillId="0" borderId="26" xfId="1" applyFont="1" applyFill="1" applyBorder="1" applyAlignment="1" applyProtection="1">
      <alignment vertical="center"/>
      <protection hidden="1"/>
    </xf>
    <xf numFmtId="0" fontId="3" fillId="0" borderId="26" xfId="1" applyFont="1" applyFill="1" applyBorder="1" applyProtection="1">
      <protection hidden="1"/>
    </xf>
    <xf numFmtId="0" fontId="3" fillId="0" borderId="28" xfId="1" applyFont="1" applyFill="1" applyBorder="1" applyProtection="1">
      <protection hidden="1"/>
    </xf>
    <xf numFmtId="0" fontId="7" fillId="0" borderId="20" xfId="0" applyFont="1" applyFill="1" applyBorder="1" applyAlignment="1" applyProtection="1">
      <alignment vertical="center"/>
      <protection hidden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/>
    <xf numFmtId="0" fontId="10" fillId="0" borderId="0" xfId="0" applyFont="1" applyBorder="1"/>
    <xf numFmtId="0" fontId="12" fillId="0" borderId="30" xfId="0" applyFont="1" applyBorder="1" applyAlignment="1">
      <alignment horizontal="right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/>
    <xf numFmtId="164" fontId="10" fillId="0" borderId="15" xfId="0" applyNumberFormat="1" applyFont="1" applyBorder="1"/>
    <xf numFmtId="164" fontId="13" fillId="0" borderId="15" xfId="0" applyNumberFormat="1" applyFont="1" applyBorder="1" applyAlignment="1">
      <alignment horizontal="center"/>
    </xf>
    <xf numFmtId="0" fontId="13" fillId="0" borderId="0" xfId="0" applyFont="1"/>
    <xf numFmtId="0" fontId="9" fillId="0" borderId="31" xfId="0" applyFont="1" applyBorder="1" applyAlignment="1">
      <alignment horizontal="right"/>
    </xf>
    <xf numFmtId="0" fontId="14" fillId="0" borderId="0" xfId="0" applyFont="1" applyBorder="1"/>
    <xf numFmtId="164" fontId="10" fillId="0" borderId="0" xfId="0" applyNumberFormat="1" applyFont="1" applyBorder="1"/>
    <xf numFmtId="164" fontId="10" fillId="0" borderId="21" xfId="0" applyNumberFormat="1" applyFont="1" applyBorder="1"/>
    <xf numFmtId="0" fontId="14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0" fontId="9" fillId="0" borderId="32" xfId="0" applyFont="1" applyBorder="1" applyAlignment="1">
      <alignment horizontal="right"/>
    </xf>
    <xf numFmtId="0" fontId="14" fillId="0" borderId="22" xfId="0" applyFont="1" applyBorder="1"/>
    <xf numFmtId="0" fontId="10" fillId="0" borderId="22" xfId="0" applyFont="1" applyBorder="1" applyAlignment="1">
      <alignment horizontal="center"/>
    </xf>
    <xf numFmtId="164" fontId="10" fillId="0" borderId="22" xfId="0" applyNumberFormat="1" applyFont="1" applyBorder="1"/>
    <xf numFmtId="164" fontId="10" fillId="0" borderId="25" xfId="0" applyNumberFormat="1" applyFont="1" applyBorder="1"/>
    <xf numFmtId="0" fontId="13" fillId="0" borderId="30" xfId="0" applyFont="1" applyBorder="1" applyAlignment="1">
      <alignment horizontal="right"/>
    </xf>
    <xf numFmtId="0" fontId="15" fillId="0" borderId="14" xfId="0" applyFont="1" applyBorder="1"/>
    <xf numFmtId="164" fontId="10" fillId="0" borderId="14" xfId="0" applyNumberFormat="1" applyFont="1" applyBorder="1"/>
    <xf numFmtId="0" fontId="14" fillId="0" borderId="22" xfId="0" applyFont="1" applyBorder="1" applyAlignment="1">
      <alignment horizontal="left"/>
    </xf>
    <xf numFmtId="164" fontId="10" fillId="0" borderId="22" xfId="0" applyNumberFormat="1" applyFont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14" fillId="0" borderId="0" xfId="0" applyFont="1" applyFill="1" applyBorder="1"/>
    <xf numFmtId="164" fontId="10" fillId="0" borderId="0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10" fillId="0" borderId="27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164" fontId="10" fillId="0" borderId="33" xfId="0" applyNumberFormat="1" applyFont="1" applyBorder="1" applyAlignment="1">
      <alignment horizontal="center"/>
    </xf>
    <xf numFmtId="0" fontId="16" fillId="0" borderId="0" xfId="0" applyFont="1" applyBorder="1"/>
    <xf numFmtId="0" fontId="9" fillId="0" borderId="0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right"/>
    </xf>
    <xf numFmtId="0" fontId="16" fillId="0" borderId="35" xfId="0" applyFont="1" applyBorder="1"/>
    <xf numFmtId="0" fontId="9" fillId="0" borderId="35" xfId="0" applyFont="1" applyBorder="1" applyAlignment="1">
      <alignment horizontal="center"/>
    </xf>
    <xf numFmtId="164" fontId="9" fillId="0" borderId="36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44" fontId="0" fillId="0" borderId="43" xfId="2" applyFont="1" applyBorder="1"/>
    <xf numFmtId="44" fontId="0" fillId="0" borderId="11" xfId="2" applyFont="1" applyBorder="1"/>
    <xf numFmtId="44" fontId="0" fillId="0" borderId="7" xfId="2" applyFont="1" applyBorder="1"/>
    <xf numFmtId="44" fontId="0" fillId="0" borderId="45" xfId="2" applyFont="1" applyBorder="1"/>
    <xf numFmtId="44" fontId="0" fillId="0" borderId="12" xfId="2" applyFont="1" applyBorder="1"/>
    <xf numFmtId="44" fontId="0" fillId="0" borderId="2" xfId="2" applyFont="1" applyBorder="1"/>
    <xf numFmtId="44" fontId="0" fillId="0" borderId="5" xfId="2" applyFont="1" applyBorder="1"/>
    <xf numFmtId="44" fontId="0" fillId="0" borderId="9" xfId="2" applyFont="1" applyBorder="1"/>
    <xf numFmtId="44" fontId="0" fillId="0" borderId="0" xfId="2" applyFont="1" applyBorder="1"/>
    <xf numFmtId="44" fontId="0" fillId="0" borderId="21" xfId="2" applyFont="1" applyBorder="1"/>
    <xf numFmtId="44" fontId="0" fillId="0" borderId="22" xfId="2" applyFont="1" applyBorder="1"/>
    <xf numFmtId="44" fontId="0" fillId="0" borderId="58" xfId="2" applyFont="1" applyBorder="1"/>
    <xf numFmtId="44" fontId="0" fillId="0" borderId="59" xfId="2" applyFont="1" applyBorder="1"/>
    <xf numFmtId="44" fontId="0" fillId="0" borderId="17" xfId="2" applyFont="1" applyBorder="1"/>
    <xf numFmtId="0" fontId="17" fillId="0" borderId="57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44" fontId="10" fillId="0" borderId="0" xfId="2" applyFont="1"/>
    <xf numFmtId="165" fontId="19" fillId="0" borderId="0" xfId="0" applyNumberFormat="1" applyFont="1"/>
    <xf numFmtId="166" fontId="17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166" fontId="0" fillId="0" borderId="0" xfId="0" applyNumberFormat="1" applyFont="1" applyBorder="1"/>
    <xf numFmtId="0" fontId="17" fillId="0" borderId="37" xfId="0" applyFont="1" applyBorder="1"/>
    <xf numFmtId="0" fontId="17" fillId="0" borderId="38" xfId="0" applyFont="1" applyBorder="1"/>
    <xf numFmtId="0" fontId="17" fillId="0" borderId="39" xfId="0" applyFont="1" applyBorder="1" applyAlignment="1">
      <alignment horizontal="left"/>
    </xf>
    <xf numFmtId="0" fontId="0" fillId="0" borderId="42" xfId="0" applyNumberFormat="1" applyFont="1" applyBorder="1"/>
    <xf numFmtId="3" fontId="0" fillId="0" borderId="43" xfId="0" applyNumberFormat="1" applyFont="1" applyBorder="1"/>
    <xf numFmtId="0" fontId="0" fillId="0" borderId="4" xfId="0" applyNumberFormat="1" applyFont="1" applyBorder="1"/>
    <xf numFmtId="3" fontId="0" fillId="0" borderId="11" xfId="0" applyNumberFormat="1" applyFont="1" applyBorder="1"/>
    <xf numFmtId="166" fontId="0" fillId="0" borderId="7" xfId="0" applyNumberFormat="1" applyFont="1" applyBorder="1" applyAlignment="1">
      <alignment horizontal="left"/>
    </xf>
    <xf numFmtId="3" fontId="0" fillId="0" borderId="4" xfId="0" applyNumberFormat="1" applyFont="1" applyBorder="1"/>
    <xf numFmtId="166" fontId="0" fillId="0" borderId="7" xfId="0" applyNumberFormat="1" applyFont="1" applyFill="1" applyBorder="1" applyAlignment="1">
      <alignment horizontal="left"/>
    </xf>
    <xf numFmtId="0" fontId="0" fillId="0" borderId="4" xfId="0" applyFont="1" applyBorder="1"/>
    <xf numFmtId="0" fontId="0" fillId="0" borderId="11" xfId="0" applyFont="1" applyBorder="1"/>
    <xf numFmtId="3" fontId="19" fillId="0" borderId="0" xfId="0" applyNumberFormat="1" applyFont="1"/>
    <xf numFmtId="3" fontId="0" fillId="0" borderId="51" xfId="0" applyNumberFormat="1" applyFont="1" applyBorder="1"/>
    <xf numFmtId="3" fontId="18" fillId="0" borderId="0" xfId="0" applyNumberFormat="1" applyFont="1"/>
    <xf numFmtId="0" fontId="0" fillId="0" borderId="19" xfId="0" applyFont="1" applyBorder="1" applyAlignment="1"/>
    <xf numFmtId="0" fontId="0" fillId="0" borderId="19" xfId="0" applyFont="1" applyBorder="1"/>
    <xf numFmtId="0" fontId="0" fillId="0" borderId="24" xfId="0" applyFont="1" applyBorder="1"/>
    <xf numFmtId="167" fontId="0" fillId="0" borderId="4" xfId="0" applyNumberFormat="1" applyFont="1" applyBorder="1"/>
    <xf numFmtId="167" fontId="0" fillId="0" borderId="11" xfId="0" applyNumberFormat="1" applyFont="1" applyBorder="1"/>
    <xf numFmtId="0" fontId="0" fillId="0" borderId="0" xfId="0" applyFont="1" applyBorder="1"/>
    <xf numFmtId="166" fontId="17" fillId="0" borderId="54" xfId="0" applyNumberFormat="1" applyFont="1" applyBorder="1" applyAlignment="1">
      <alignment horizontal="left"/>
    </xf>
    <xf numFmtId="3" fontId="17" fillId="0" borderId="56" xfId="0" applyNumberFormat="1" applyFont="1" applyBorder="1"/>
    <xf numFmtId="3" fontId="17" fillId="0" borderId="55" xfId="0" applyNumberFormat="1" applyFont="1" applyBorder="1"/>
    <xf numFmtId="0" fontId="0" fillId="0" borderId="22" xfId="0" applyFont="1" applyBorder="1"/>
    <xf numFmtId="0" fontId="0" fillId="0" borderId="25" xfId="0" applyFont="1" applyBorder="1"/>
    <xf numFmtId="3" fontId="19" fillId="0" borderId="52" xfId="0" applyNumberFormat="1" applyFont="1" applyBorder="1"/>
    <xf numFmtId="165" fontId="19" fillId="0" borderId="47" xfId="0" applyNumberFormat="1" applyFont="1" applyBorder="1" applyAlignment="1">
      <alignment horizontal="center"/>
    </xf>
    <xf numFmtId="165" fontId="19" fillId="0" borderId="42" xfId="0" applyNumberFormat="1" applyFont="1" applyBorder="1" applyAlignment="1">
      <alignment horizontal="center"/>
    </xf>
    <xf numFmtId="165" fontId="19" fillId="0" borderId="41" xfId="0" applyNumberFormat="1" applyFont="1" applyBorder="1" applyAlignment="1">
      <alignment horizontal="center"/>
    </xf>
    <xf numFmtId="3" fontId="19" fillId="0" borderId="17" xfId="0" applyNumberFormat="1" applyFont="1" applyBorder="1"/>
    <xf numFmtId="3" fontId="19" fillId="0" borderId="42" xfId="0" applyNumberFormat="1" applyFont="1" applyBorder="1"/>
    <xf numFmtId="0" fontId="0" fillId="0" borderId="18" xfId="0" applyFont="1" applyBorder="1"/>
    <xf numFmtId="0" fontId="0" fillId="0" borderId="43" xfId="0" applyFont="1" applyBorder="1"/>
    <xf numFmtId="3" fontId="19" fillId="0" borderId="29" xfId="0" applyNumberFormat="1" applyFont="1" applyBorder="1"/>
    <xf numFmtId="3" fontId="19" fillId="0" borderId="28" xfId="0" applyNumberFormat="1" applyFont="1" applyBorder="1"/>
    <xf numFmtId="0" fontId="0" fillId="0" borderId="48" xfId="0" applyFont="1" applyBorder="1"/>
    <xf numFmtId="0" fontId="0" fillId="0" borderId="49" xfId="0" applyFont="1" applyBorder="1"/>
    <xf numFmtId="3" fontId="19" fillId="0" borderId="12" xfId="0" applyNumberFormat="1" applyFont="1" applyBorder="1"/>
    <xf numFmtId="3" fontId="19" fillId="0" borderId="44" xfId="0" applyNumberFormat="1" applyFont="1" applyBorder="1"/>
    <xf numFmtId="3" fontId="19" fillId="0" borderId="9" xfId="0" applyNumberFormat="1" applyFont="1" applyFill="1" applyBorder="1"/>
    <xf numFmtId="0" fontId="0" fillId="0" borderId="45" xfId="0" applyFont="1" applyBorder="1"/>
    <xf numFmtId="44" fontId="19" fillId="0" borderId="27" xfId="2" applyFont="1" applyBorder="1"/>
    <xf numFmtId="44" fontId="19" fillId="0" borderId="40" xfId="2" applyFont="1" applyBorder="1"/>
    <xf numFmtId="44" fontId="19" fillId="0" borderId="42" xfId="2" applyFont="1" applyBorder="1"/>
    <xf numFmtId="44" fontId="19" fillId="0" borderId="6" xfId="2" applyFont="1" applyBorder="1"/>
    <xf numFmtId="44" fontId="0" fillId="0" borderId="51" xfId="0" applyNumberFormat="1" applyFont="1" applyBorder="1"/>
    <xf numFmtId="44" fontId="19" fillId="0" borderId="4" xfId="2" applyFont="1" applyBorder="1"/>
    <xf numFmtId="44" fontId="19" fillId="0" borderId="7" xfId="2" applyFont="1" applyBorder="1"/>
    <xf numFmtId="44" fontId="0" fillId="0" borderId="11" xfId="0" applyNumberFormat="1" applyFont="1" applyBorder="1"/>
    <xf numFmtId="44" fontId="19" fillId="0" borderId="22" xfId="2" applyFont="1" applyBorder="1"/>
    <xf numFmtId="44" fontId="19" fillId="0" borderId="44" xfId="2" applyFont="1" applyBorder="1"/>
    <xf numFmtId="44" fontId="19" fillId="0" borderId="12" xfId="2" applyFont="1" applyBorder="1"/>
    <xf numFmtId="44" fontId="0" fillId="0" borderId="53" xfId="0" applyNumberFormat="1" applyFont="1" applyBorder="1"/>
    <xf numFmtId="0" fontId="0" fillId="0" borderId="31" xfId="0" applyFont="1" applyBorder="1"/>
    <xf numFmtId="0" fontId="0" fillId="0" borderId="21" xfId="0" applyFont="1" applyBorder="1"/>
    <xf numFmtId="166" fontId="0" fillId="0" borderId="12" xfId="0" applyNumberFormat="1" applyFont="1" applyBorder="1" applyAlignment="1">
      <alignment horizontal="left"/>
    </xf>
    <xf numFmtId="0" fontId="0" fillId="0" borderId="14" xfId="0" applyFont="1" applyBorder="1"/>
    <xf numFmtId="166" fontId="0" fillId="0" borderId="5" xfId="0" applyNumberFormat="1" applyFont="1" applyBorder="1" applyAlignment="1">
      <alignment horizontal="left"/>
    </xf>
    <xf numFmtId="166" fontId="0" fillId="0" borderId="5" xfId="0" applyNumberFormat="1" applyFont="1" applyFill="1" applyBorder="1" applyAlignment="1">
      <alignment horizontal="left"/>
    </xf>
    <xf numFmtId="166" fontId="0" fillId="0" borderId="9" xfId="0" applyNumberFormat="1" applyFont="1" applyBorder="1" applyAlignment="1">
      <alignment horizontal="left"/>
    </xf>
    <xf numFmtId="166" fontId="17" fillId="0" borderId="61" xfId="0" applyNumberFormat="1" applyFont="1" applyBorder="1" applyAlignment="1">
      <alignment horizontal="left"/>
    </xf>
    <xf numFmtId="0" fontId="0" fillId="0" borderId="17" xfId="0" applyNumberFormat="1" applyFont="1" applyBorder="1"/>
    <xf numFmtId="0" fontId="0" fillId="0" borderId="7" xfId="0" applyNumberFormat="1" applyFont="1" applyBorder="1"/>
    <xf numFmtId="0" fontId="0" fillId="0" borderId="7" xfId="0" applyFont="1" applyBorder="1"/>
    <xf numFmtId="3" fontId="0" fillId="0" borderId="7" xfId="0" applyNumberFormat="1" applyFont="1" applyBorder="1"/>
    <xf numFmtId="0" fontId="0" fillId="0" borderId="7" xfId="0" applyNumberFormat="1" applyFont="1" applyFill="1" applyBorder="1"/>
    <xf numFmtId="167" fontId="0" fillId="0" borderId="7" xfId="0" applyNumberFormat="1" applyFont="1" applyBorder="1"/>
    <xf numFmtId="3" fontId="17" fillId="0" borderId="54" xfId="0" applyNumberFormat="1" applyFont="1" applyBorder="1"/>
    <xf numFmtId="3" fontId="18" fillId="0" borderId="0" xfId="0" applyNumberFormat="1" applyFont="1" applyBorder="1" applyAlignment="1"/>
    <xf numFmtId="166" fontId="0" fillId="0" borderId="40" xfId="0" applyNumberFormat="1" applyFont="1" applyBorder="1" applyAlignment="1">
      <alignment horizontal="left"/>
    </xf>
    <xf numFmtId="166" fontId="0" fillId="0" borderId="41" xfId="0" applyNumberFormat="1" applyFont="1" applyBorder="1" applyAlignment="1">
      <alignment horizontal="left"/>
    </xf>
    <xf numFmtId="166" fontId="0" fillId="0" borderId="60" xfId="0" applyNumberFormat="1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32" xfId="0" quotePrefix="1" applyFont="1" applyBorder="1" applyAlignment="1">
      <alignment horizontal="left"/>
    </xf>
    <xf numFmtId="0" fontId="0" fillId="0" borderId="22" xfId="0" quotePrefix="1" applyFont="1" applyBorder="1" applyAlignment="1">
      <alignment horizontal="left"/>
    </xf>
    <xf numFmtId="0" fontId="0" fillId="0" borderId="31" xfId="0" quotePrefix="1" applyFont="1" applyBorder="1" applyAlignment="1">
      <alignment horizontal="left"/>
    </xf>
    <xf numFmtId="0" fontId="0" fillId="0" borderId="0" xfId="0" quotePrefix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7" fillId="0" borderId="0" xfId="0" applyFont="1" applyBorder="1"/>
    <xf numFmtId="0" fontId="19" fillId="0" borderId="20" xfId="0" applyNumberFormat="1" applyFont="1" applyBorder="1"/>
    <xf numFmtId="0" fontId="19" fillId="0" borderId="29" xfId="0" applyNumberFormat="1" applyFont="1" applyBorder="1"/>
    <xf numFmtId="44" fontId="10" fillId="0" borderId="0" xfId="2" applyFont="1" applyAlignment="1">
      <alignment horizontal="center"/>
    </xf>
    <xf numFmtId="44" fontId="10" fillId="0" borderId="0" xfId="2" applyFont="1" applyBorder="1" applyAlignment="1">
      <alignment horizontal="center"/>
    </xf>
    <xf numFmtId="44" fontId="10" fillId="0" borderId="14" xfId="2" applyFont="1" applyBorder="1" applyAlignment="1">
      <alignment horizontal="center"/>
    </xf>
    <xf numFmtId="44" fontId="10" fillId="0" borderId="22" xfId="2" applyFont="1" applyBorder="1" applyAlignment="1">
      <alignment horizontal="center"/>
    </xf>
    <xf numFmtId="44" fontId="10" fillId="0" borderId="27" xfId="2" applyFont="1" applyBorder="1" applyAlignment="1">
      <alignment horizontal="center"/>
    </xf>
    <xf numFmtId="44" fontId="10" fillId="0" borderId="35" xfId="2" applyFont="1" applyBorder="1" applyAlignment="1">
      <alignment horizontal="center"/>
    </xf>
    <xf numFmtId="44" fontId="13" fillId="0" borderId="14" xfId="2" applyFont="1" applyBorder="1" applyAlignment="1">
      <alignment horizontal="center"/>
    </xf>
    <xf numFmtId="44" fontId="9" fillId="0" borderId="0" xfId="2" applyFont="1" applyBorder="1" applyAlignment="1">
      <alignment horizontal="center"/>
    </xf>
    <xf numFmtId="44" fontId="9" fillId="0" borderId="35" xfId="2" applyFont="1" applyBorder="1" applyAlignment="1">
      <alignment horizontal="center"/>
    </xf>
    <xf numFmtId="44" fontId="13" fillId="0" borderId="0" xfId="2" applyFont="1"/>
    <xf numFmtId="44" fontId="19" fillId="0" borderId="45" xfId="2" applyFont="1" applyBorder="1"/>
    <xf numFmtId="0" fontId="0" fillId="0" borderId="12" xfId="0" applyFont="1" applyBorder="1"/>
    <xf numFmtId="0" fontId="17" fillId="0" borderId="32" xfId="0" applyFont="1" applyBorder="1"/>
    <xf numFmtId="44" fontId="0" fillId="0" borderId="22" xfId="0" applyNumberFormat="1" applyFont="1" applyBorder="1"/>
    <xf numFmtId="3" fontId="19" fillId="0" borderId="0" xfId="0" applyNumberFormat="1" applyFont="1" applyFill="1" applyBorder="1"/>
    <xf numFmtId="9" fontId="0" fillId="0" borderId="11" xfId="0" applyNumberFormat="1" applyFont="1" applyBorder="1"/>
    <xf numFmtId="44" fontId="0" fillId="0" borderId="45" xfId="0" applyNumberFormat="1" applyFont="1" applyBorder="1"/>
    <xf numFmtId="0" fontId="0" fillId="0" borderId="17" xfId="0" applyFont="1" applyBorder="1"/>
    <xf numFmtId="3" fontId="19" fillId="0" borderId="17" xfId="0" applyNumberFormat="1" applyFont="1" applyFill="1" applyBorder="1"/>
    <xf numFmtId="3" fontId="19" fillId="0" borderId="43" xfId="0" applyNumberFormat="1" applyFont="1" applyFill="1" applyBorder="1"/>
    <xf numFmtId="44" fontId="0" fillId="0" borderId="43" xfId="0" applyNumberFormat="1" applyFont="1" applyBorder="1"/>
    <xf numFmtId="3" fontId="18" fillId="0" borderId="30" xfId="0" applyNumberFormat="1" applyFont="1" applyBorder="1"/>
    <xf numFmtId="3" fontId="18" fillId="0" borderId="14" xfId="0" applyNumberFormat="1" applyFont="1" applyBorder="1"/>
    <xf numFmtId="3" fontId="18" fillId="0" borderId="15" xfId="0" applyNumberFormat="1" applyFont="1" applyBorder="1"/>
    <xf numFmtId="0" fontId="0" fillId="0" borderId="1" xfId="0" applyFont="1" applyBorder="1"/>
    <xf numFmtId="44" fontId="0" fillId="0" borderId="48" xfId="0" applyNumberFormat="1" applyFont="1" applyBorder="1"/>
    <xf numFmtId="44" fontId="0" fillId="0" borderId="48" xfId="2" applyFont="1" applyBorder="1"/>
    <xf numFmtId="2" fontId="0" fillId="0" borderId="45" xfId="2" applyNumberFormat="1" applyFont="1" applyBorder="1"/>
    <xf numFmtId="0" fontId="3" fillId="0" borderId="52" xfId="1" applyFont="1" applyFill="1" applyBorder="1" applyAlignment="1" applyProtection="1">
      <alignment vertical="center"/>
      <protection hidden="1"/>
    </xf>
    <xf numFmtId="0" fontId="3" fillId="2" borderId="58" xfId="1" applyFont="1" applyFill="1" applyBorder="1" applyAlignment="1" applyProtection="1">
      <alignment vertical="center"/>
      <protection hidden="1"/>
    </xf>
    <xf numFmtId="0" fontId="3" fillId="0" borderId="58" xfId="1" applyFont="1" applyFill="1" applyBorder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3" fillId="0" borderId="58" xfId="1" applyFont="1" applyFill="1" applyBorder="1" applyProtection="1">
      <protection hidden="1"/>
    </xf>
    <xf numFmtId="0" fontId="3" fillId="0" borderId="59" xfId="1" applyFont="1" applyFill="1" applyBorder="1" applyProtection="1">
      <protection hidden="1"/>
    </xf>
    <xf numFmtId="0" fontId="8" fillId="0" borderId="62" xfId="0" applyFont="1" applyBorder="1"/>
    <xf numFmtId="164" fontId="20" fillId="0" borderId="0" xfId="0" applyNumberFormat="1" applyFont="1" applyBorder="1" applyAlignment="1">
      <alignment horizontal="center"/>
    </xf>
    <xf numFmtId="164" fontId="20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44" fontId="9" fillId="0" borderId="21" xfId="2" applyFont="1" applyBorder="1" applyAlignment="1">
      <alignment horizontal="center"/>
    </xf>
    <xf numFmtId="9" fontId="0" fillId="0" borderId="0" xfId="0" applyNumberFormat="1" applyFont="1" applyBorder="1"/>
    <xf numFmtId="44" fontId="0" fillId="0" borderId="0" xfId="0" applyNumberFormat="1" applyFont="1" applyBorder="1"/>
    <xf numFmtId="2" fontId="0" fillId="0" borderId="0" xfId="2" applyNumberFormat="1" applyFont="1" applyBorder="1"/>
    <xf numFmtId="0" fontId="8" fillId="0" borderId="63" xfId="0" applyFont="1" applyBorder="1"/>
    <xf numFmtId="0" fontId="8" fillId="0" borderId="4" xfId="0" applyFont="1" applyBorder="1"/>
    <xf numFmtId="2" fontId="8" fillId="0" borderId="4" xfId="0" applyNumberFormat="1" applyFont="1" applyBorder="1"/>
    <xf numFmtId="0" fontId="8" fillId="2" borderId="49" xfId="0" applyFont="1" applyFill="1" applyBorder="1"/>
    <xf numFmtId="0" fontId="8" fillId="0" borderId="17" xfId="0" applyFont="1" applyBorder="1"/>
    <xf numFmtId="0" fontId="8" fillId="0" borderId="42" xfId="0" applyFont="1" applyBorder="1"/>
    <xf numFmtId="2" fontId="8" fillId="0" borderId="42" xfId="0" applyNumberFormat="1" applyFont="1" applyBorder="1"/>
    <xf numFmtId="0" fontId="8" fillId="0" borderId="7" xfId="0" applyFont="1" applyBorder="1"/>
    <xf numFmtId="0" fontId="8" fillId="2" borderId="7" xfId="0" applyFont="1" applyFill="1" applyBorder="1"/>
    <xf numFmtId="0" fontId="8" fillId="0" borderId="7" xfId="0" applyFont="1" applyFill="1" applyBorder="1"/>
    <xf numFmtId="0" fontId="8" fillId="0" borderId="12" xfId="0" applyFont="1" applyBorder="1"/>
    <xf numFmtId="0" fontId="8" fillId="0" borderId="44" xfId="0" applyFont="1" applyBorder="1"/>
    <xf numFmtId="2" fontId="8" fillId="0" borderId="44" xfId="0" applyNumberFormat="1" applyFont="1" applyBorder="1"/>
    <xf numFmtId="0" fontId="6" fillId="0" borderId="64" xfId="1" applyFont="1" applyBorder="1" applyAlignment="1" applyProtection="1">
      <alignment horizontal="left" vertical="center" indent="1"/>
      <protection hidden="1"/>
    </xf>
    <xf numFmtId="0" fontId="2" fillId="0" borderId="4" xfId="1" applyFont="1" applyBorder="1" applyAlignment="1" applyProtection="1">
      <alignment horizontal="left" vertical="center" indent="1"/>
      <protection hidden="1"/>
    </xf>
    <xf numFmtId="0" fontId="8" fillId="0" borderId="5" xfId="0" applyFont="1" applyBorder="1"/>
    <xf numFmtId="0" fontId="8" fillId="2" borderId="16" xfId="0" applyFont="1" applyFill="1" applyBorder="1"/>
    <xf numFmtId="0" fontId="8" fillId="0" borderId="18" xfId="0" applyFont="1" applyBorder="1"/>
    <xf numFmtId="0" fontId="8" fillId="2" borderId="5" xfId="0" applyFont="1" applyFill="1" applyBorder="1"/>
    <xf numFmtId="0" fontId="8" fillId="0" borderId="9" xfId="0" applyFont="1" applyBorder="1"/>
    <xf numFmtId="0" fontId="8" fillId="2" borderId="10" xfId="0" applyFont="1" applyFill="1" applyBorder="1"/>
    <xf numFmtId="0" fontId="8" fillId="0" borderId="29" xfId="0" applyFont="1" applyBorder="1"/>
    <xf numFmtId="0" fontId="16" fillId="0" borderId="22" xfId="0" applyFont="1" applyBorder="1"/>
    <xf numFmtId="2" fontId="0" fillId="0" borderId="0" xfId="0" applyNumberFormat="1" applyFont="1" applyFill="1" applyBorder="1"/>
    <xf numFmtId="0" fontId="0" fillId="0" borderId="32" xfId="0" applyFont="1" applyBorder="1"/>
    <xf numFmtId="0" fontId="0" fillId="0" borderId="7" xfId="0" applyFont="1" applyFill="1" applyBorder="1"/>
    <xf numFmtId="0" fontId="0" fillId="0" borderId="11" xfId="2" applyNumberFormat="1" applyFont="1" applyFill="1" applyBorder="1"/>
    <xf numFmtId="0" fontId="0" fillId="0" borderId="12" xfId="0" applyFont="1" applyFill="1" applyBorder="1"/>
    <xf numFmtId="2" fontId="0" fillId="0" borderId="0" xfId="0" applyNumberFormat="1" applyFont="1"/>
    <xf numFmtId="2" fontId="0" fillId="0" borderId="0" xfId="0" applyNumberFormat="1" applyFont="1" applyFill="1" applyBorder="1" applyAlignment="1">
      <alignment horizontal="right"/>
    </xf>
    <xf numFmtId="2" fontId="0" fillId="0" borderId="4" xfId="0" applyNumberFormat="1" applyBorder="1"/>
    <xf numFmtId="44" fontId="0" fillId="0" borderId="4" xfId="0" applyNumberFormat="1" applyBorder="1"/>
    <xf numFmtId="2" fontId="0" fillId="0" borderId="26" xfId="0" applyNumberFormat="1" applyBorder="1"/>
    <xf numFmtId="0" fontId="0" fillId="0" borderId="52" xfId="0" applyBorder="1"/>
    <xf numFmtId="0" fontId="0" fillId="0" borderId="10" xfId="0" applyBorder="1"/>
    <xf numFmtId="0" fontId="0" fillId="0" borderId="23" xfId="0" applyBorder="1"/>
    <xf numFmtId="0" fontId="0" fillId="0" borderId="47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9" fontId="0" fillId="0" borderId="11" xfId="3" applyFont="1" applyBorder="1"/>
    <xf numFmtId="2" fontId="0" fillId="0" borderId="28" xfId="0" applyNumberFormat="1" applyBorder="1"/>
    <xf numFmtId="2" fontId="0" fillId="0" borderId="44" xfId="0" applyNumberFormat="1" applyBorder="1"/>
    <xf numFmtId="44" fontId="0" fillId="0" borderId="44" xfId="0" applyNumberFormat="1" applyBorder="1"/>
    <xf numFmtId="9" fontId="0" fillId="0" borderId="45" xfId="3" applyFont="1" applyBorder="1"/>
    <xf numFmtId="0" fontId="0" fillId="0" borderId="42" xfId="0" applyFill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57" xfId="0" applyFont="1" applyBorder="1"/>
    <xf numFmtId="2" fontId="0" fillId="0" borderId="19" xfId="0" applyNumberFormat="1" applyFont="1" applyBorder="1"/>
    <xf numFmtId="2" fontId="0" fillId="0" borderId="22" xfId="0" applyNumberFormat="1" applyFont="1" applyFill="1" applyBorder="1"/>
    <xf numFmtId="0" fontId="0" fillId="0" borderId="17" xfId="0" applyBorder="1" applyAlignment="1">
      <alignment wrapText="1"/>
    </xf>
    <xf numFmtId="2" fontId="0" fillId="0" borderId="7" xfId="0" applyNumberFormat="1" applyBorder="1"/>
    <xf numFmtId="2" fontId="0" fillId="0" borderId="12" xfId="0" applyNumberFormat="1" applyBorder="1"/>
    <xf numFmtId="168" fontId="0" fillId="0" borderId="22" xfId="0" applyNumberFormat="1" applyFont="1" applyBorder="1"/>
    <xf numFmtId="2" fontId="0" fillId="0" borderId="22" xfId="0" applyNumberFormat="1" applyFont="1" applyBorder="1"/>
    <xf numFmtId="166" fontId="0" fillId="0" borderId="58" xfId="0" applyNumberFormat="1" applyFont="1" applyBorder="1" applyAlignment="1">
      <alignment horizontal="left"/>
    </xf>
    <xf numFmtId="0" fontId="3" fillId="0" borderId="5" xfId="1" applyFont="1" applyFill="1" applyBorder="1" applyAlignment="1" applyProtection="1">
      <alignment horizontal="left" vertical="center" indent="1"/>
      <protection hidden="1"/>
    </xf>
    <xf numFmtId="0" fontId="8" fillId="0" borderId="4" xfId="0" applyFont="1" applyFill="1" applyBorder="1"/>
    <xf numFmtId="2" fontId="8" fillId="0" borderId="4" xfId="0" applyNumberFormat="1" applyFont="1" applyFill="1" applyBorder="1"/>
    <xf numFmtId="0" fontId="8" fillId="0" borderId="5" xfId="0" applyFont="1" applyFill="1" applyBorder="1"/>
    <xf numFmtId="0" fontId="3" fillId="0" borderId="2" xfId="1" applyFont="1" applyFill="1" applyBorder="1" applyAlignment="1" applyProtection="1">
      <alignment horizontal="left" vertical="center" indent="1"/>
      <protection hidden="1"/>
    </xf>
    <xf numFmtId="0" fontId="8" fillId="0" borderId="6" xfId="0" applyFont="1" applyBorder="1"/>
    <xf numFmtId="0" fontId="8" fillId="0" borderId="50" xfId="0" applyFont="1" applyBorder="1"/>
    <xf numFmtId="2" fontId="8" fillId="0" borderId="50" xfId="0" applyNumberFormat="1" applyFont="1" applyBorder="1"/>
    <xf numFmtId="0" fontId="8" fillId="0" borderId="2" xfId="0" applyFont="1" applyBorder="1"/>
    <xf numFmtId="0" fontId="8" fillId="0" borderId="24" xfId="0" applyFont="1" applyBorder="1"/>
    <xf numFmtId="0" fontId="8" fillId="0" borderId="11" xfId="0" applyFont="1" applyFill="1" applyBorder="1"/>
    <xf numFmtId="0" fontId="8" fillId="2" borderId="11" xfId="0" applyFont="1" applyFill="1" applyBorder="1"/>
    <xf numFmtId="0" fontId="3" fillId="0" borderId="9" xfId="1" applyFont="1" applyFill="1" applyBorder="1" applyAlignment="1" applyProtection="1">
      <alignment horizontal="left" vertical="center" indent="1"/>
      <protection hidden="1"/>
    </xf>
    <xf numFmtId="0" fontId="8" fillId="0" borderId="12" xfId="0" applyFont="1" applyFill="1" applyBorder="1"/>
    <xf numFmtId="0" fontId="8" fillId="0" borderId="44" xfId="0" applyFont="1" applyFill="1" applyBorder="1"/>
    <xf numFmtId="2" fontId="8" fillId="0" borderId="44" xfId="0" applyNumberFormat="1" applyFont="1" applyFill="1" applyBorder="1"/>
    <xf numFmtId="0" fontId="8" fillId="0" borderId="45" xfId="0" applyFont="1" applyFill="1" applyBorder="1"/>
    <xf numFmtId="0" fontId="3" fillId="0" borderId="6" xfId="1" applyFont="1" applyFill="1" applyBorder="1" applyProtection="1">
      <protection hidden="1"/>
    </xf>
    <xf numFmtId="0" fontId="3" fillId="0" borderId="20" xfId="1" applyFont="1" applyFill="1" applyBorder="1" applyProtection="1">
      <protection hidden="1"/>
    </xf>
    <xf numFmtId="0" fontId="3" fillId="0" borderId="65" xfId="1" applyFont="1" applyFill="1" applyBorder="1" applyProtection="1">
      <protection hidden="1"/>
    </xf>
    <xf numFmtId="0" fontId="8" fillId="0" borderId="0" xfId="0" applyFont="1" applyFill="1" applyBorder="1"/>
    <xf numFmtId="0" fontId="3" fillId="0" borderId="13" xfId="1" applyFont="1" applyFill="1" applyBorder="1" applyProtection="1">
      <protection hidden="1"/>
    </xf>
    <xf numFmtId="0" fontId="7" fillId="2" borderId="20" xfId="0" applyFont="1" applyFill="1" applyBorder="1" applyAlignment="1" applyProtection="1">
      <alignment vertical="center"/>
      <protection hidden="1"/>
    </xf>
    <xf numFmtId="0" fontId="7" fillId="0" borderId="20" xfId="0" applyFont="1" applyFill="1" applyBorder="1" applyProtection="1">
      <protection hidden="1"/>
    </xf>
    <xf numFmtId="0" fontId="7" fillId="0" borderId="29" xfId="0" applyFont="1" applyFill="1" applyBorder="1" applyProtection="1">
      <protection hidden="1"/>
    </xf>
    <xf numFmtId="0" fontId="3" fillId="3" borderId="5" xfId="1" applyFont="1" applyFill="1" applyBorder="1" applyAlignment="1" applyProtection="1">
      <alignment horizontal="left" vertical="center" indent="1"/>
      <protection hidden="1"/>
    </xf>
    <xf numFmtId="0" fontId="8" fillId="3" borderId="7" xfId="0" applyFont="1" applyFill="1" applyBorder="1"/>
    <xf numFmtId="0" fontId="8" fillId="3" borderId="4" xfId="0" applyFont="1" applyFill="1" applyBorder="1"/>
    <xf numFmtId="2" fontId="8" fillId="3" borderId="4" xfId="0" applyNumberFormat="1" applyFont="1" applyFill="1" applyBorder="1"/>
    <xf numFmtId="0" fontId="8" fillId="3" borderId="5" xfId="0" applyFont="1" applyFill="1" applyBorder="1"/>
    <xf numFmtId="0" fontId="8" fillId="3" borderId="62" xfId="0" applyFont="1" applyFill="1" applyBorder="1"/>
    <xf numFmtId="0" fontId="3" fillId="3" borderId="26" xfId="1" applyFont="1" applyFill="1" applyBorder="1" applyAlignment="1" applyProtection="1">
      <alignment vertical="center"/>
      <protection hidden="1"/>
    </xf>
    <xf numFmtId="0" fontId="3" fillId="3" borderId="58" xfId="1" applyFont="1" applyFill="1" applyBorder="1" applyAlignment="1" applyProtection="1">
      <alignment vertical="center"/>
      <protection hidden="1"/>
    </xf>
    <xf numFmtId="0" fontId="3" fillId="3" borderId="10" xfId="1" applyFont="1" applyFill="1" applyBorder="1" applyAlignment="1" applyProtection="1">
      <alignment vertical="center"/>
      <protection hidden="1"/>
    </xf>
    <xf numFmtId="0" fontId="3" fillId="3" borderId="7" xfId="1" applyFont="1" applyFill="1" applyBorder="1" applyAlignment="1" applyProtection="1">
      <alignment vertical="center"/>
      <protection hidden="1"/>
    </xf>
    <xf numFmtId="0" fontId="7" fillId="3" borderId="6" xfId="0" applyFont="1" applyFill="1" applyBorder="1" applyAlignment="1" applyProtection="1">
      <alignment vertical="center"/>
      <protection hidden="1"/>
    </xf>
    <xf numFmtId="0" fontId="3" fillId="3" borderId="2" xfId="1" applyFont="1" applyFill="1" applyBorder="1" applyAlignment="1" applyProtection="1">
      <alignment horizontal="left" vertical="center" indent="1"/>
      <protection hidden="1"/>
    </xf>
    <xf numFmtId="0" fontId="3" fillId="3" borderId="26" xfId="1" applyFont="1" applyFill="1" applyBorder="1" applyProtection="1">
      <protection hidden="1"/>
    </xf>
    <xf numFmtId="0" fontId="3" fillId="3" borderId="58" xfId="1" applyFont="1" applyFill="1" applyBorder="1" applyProtection="1">
      <protection hidden="1"/>
    </xf>
    <xf numFmtId="0" fontId="3" fillId="3" borderId="10" xfId="1" applyFont="1" applyFill="1" applyBorder="1" applyProtection="1">
      <protection hidden="1"/>
    </xf>
    <xf numFmtId="0" fontId="3" fillId="3" borderId="7" xfId="1" applyFont="1" applyFill="1" applyBorder="1" applyProtection="1">
      <protection hidden="1"/>
    </xf>
    <xf numFmtId="0" fontId="7" fillId="3" borderId="6" xfId="0" applyFont="1" applyFill="1" applyBorder="1" applyProtection="1">
      <protection hidden="1"/>
    </xf>
    <xf numFmtId="0" fontId="21" fillId="0" borderId="26" xfId="1" applyFont="1" applyFill="1" applyBorder="1" applyAlignment="1" applyProtection="1">
      <alignment vertical="center"/>
      <protection hidden="1"/>
    </xf>
    <xf numFmtId="0" fontId="21" fillId="0" borderId="7" xfId="1" applyFont="1" applyFill="1" applyBorder="1" applyAlignment="1" applyProtection="1">
      <alignment vertical="center"/>
      <protection hidden="1"/>
    </xf>
    <xf numFmtId="0" fontId="21" fillId="0" borderId="58" xfId="1" applyFont="1" applyFill="1" applyBorder="1" applyAlignment="1" applyProtection="1">
      <alignment vertical="center"/>
      <protection hidden="1"/>
    </xf>
    <xf numFmtId="0" fontId="22" fillId="0" borderId="6" xfId="0" applyFont="1" applyFill="1" applyBorder="1" applyAlignment="1" applyProtection="1">
      <alignment vertical="center"/>
      <protection hidden="1"/>
    </xf>
    <xf numFmtId="0" fontId="21" fillId="0" borderId="10" xfId="1" applyFont="1" applyFill="1" applyBorder="1" applyAlignment="1" applyProtection="1">
      <alignment vertical="center"/>
      <protection hidden="1"/>
    </xf>
    <xf numFmtId="0" fontId="22" fillId="0" borderId="20" xfId="0" applyFont="1" applyFill="1" applyBorder="1" applyAlignment="1" applyProtection="1">
      <alignment vertical="center"/>
      <protection hidden="1"/>
    </xf>
    <xf numFmtId="0" fontId="21" fillId="0" borderId="58" xfId="1" applyFont="1" applyFill="1" applyBorder="1" applyProtection="1">
      <protection hidden="1"/>
    </xf>
    <xf numFmtId="0" fontId="21" fillId="0" borderId="59" xfId="1" applyFont="1" applyFill="1" applyBorder="1" applyProtection="1">
      <protection hidden="1"/>
    </xf>
    <xf numFmtId="0" fontId="8" fillId="0" borderId="9" xfId="0" applyFont="1" applyFill="1" applyBorder="1"/>
    <xf numFmtId="0" fontId="8" fillId="0" borderId="57" xfId="0" applyFont="1" applyBorder="1"/>
    <xf numFmtId="0" fontId="8" fillId="0" borderId="10" xfId="0" applyFont="1" applyBorder="1"/>
    <xf numFmtId="0" fontId="8" fillId="0" borderId="23" xfId="0" applyFont="1" applyBorder="1"/>
    <xf numFmtId="0" fontId="8" fillId="0" borderId="1" xfId="0" applyFont="1" applyBorder="1"/>
    <xf numFmtId="0" fontId="8" fillId="0" borderId="49" xfId="0" applyFont="1" applyBorder="1"/>
    <xf numFmtId="2" fontId="8" fillId="0" borderId="49" xfId="0" applyNumberFormat="1" applyFont="1" applyBorder="1"/>
    <xf numFmtId="0" fontId="8" fillId="0" borderId="16" xfId="0" applyFont="1" applyBorder="1"/>
    <xf numFmtId="0" fontId="8" fillId="0" borderId="17" xfId="0" applyFont="1" applyFill="1" applyBorder="1"/>
    <xf numFmtId="0" fontId="8" fillId="0" borderId="42" xfId="0" applyFont="1" applyFill="1" applyBorder="1"/>
    <xf numFmtId="2" fontId="8" fillId="0" borderId="42" xfId="0" applyNumberFormat="1" applyFont="1" applyFill="1" applyBorder="1"/>
    <xf numFmtId="0" fontId="8" fillId="0" borderId="18" xfId="0" applyFont="1" applyFill="1" applyBorder="1"/>
    <xf numFmtId="0" fontId="8" fillId="0" borderId="43" xfId="0" applyFont="1" applyFill="1" applyBorder="1"/>
    <xf numFmtId="166" fontId="0" fillId="0" borderId="0" xfId="0" applyNumberFormat="1" applyFont="1" applyFill="1" applyBorder="1" applyAlignment="1">
      <alignment horizontal="left"/>
    </xf>
    <xf numFmtId="3" fontId="0" fillId="0" borderId="12" xfId="0" applyNumberFormat="1" applyFont="1" applyBorder="1"/>
    <xf numFmtId="3" fontId="0" fillId="0" borderId="44" xfId="0" applyNumberFormat="1" applyFont="1" applyBorder="1"/>
    <xf numFmtId="3" fontId="0" fillId="0" borderId="45" xfId="0" applyNumberFormat="1" applyFont="1" applyBorder="1"/>
    <xf numFmtId="10" fontId="0" fillId="0" borderId="11" xfId="0" applyNumberFormat="1" applyFont="1" applyBorder="1"/>
    <xf numFmtId="10" fontId="0" fillId="0" borderId="6" xfId="0" applyNumberFormat="1" applyFont="1" applyBorder="1"/>
    <xf numFmtId="10" fontId="0" fillId="0" borderId="50" xfId="0" applyNumberFormat="1" applyFont="1" applyBorder="1"/>
    <xf numFmtId="166" fontId="17" fillId="0" borderId="0" xfId="0" applyNumberFormat="1" applyFont="1" applyBorder="1" applyAlignment="1">
      <alignment horizontal="left"/>
    </xf>
    <xf numFmtId="3" fontId="17" fillId="0" borderId="0" xfId="0" applyNumberFormat="1" applyFont="1" applyBorder="1"/>
    <xf numFmtId="166" fontId="0" fillId="0" borderId="31" xfId="0" applyNumberFormat="1" applyFont="1" applyFill="1" applyBorder="1" applyAlignment="1">
      <alignment horizontal="left"/>
    </xf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/>
    <xf numFmtId="0" fontId="10" fillId="0" borderId="0" xfId="0" applyFont="1" applyBorder="1"/>
    <xf numFmtId="0" fontId="12" fillId="0" borderId="30" xfId="0" applyFont="1" applyBorder="1" applyAlignment="1">
      <alignment horizontal="right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/>
    <xf numFmtId="164" fontId="10" fillId="0" borderId="15" xfId="0" applyNumberFormat="1" applyFont="1" applyBorder="1"/>
    <xf numFmtId="164" fontId="13" fillId="0" borderId="15" xfId="0" applyNumberFormat="1" applyFont="1" applyBorder="1" applyAlignment="1">
      <alignment horizontal="center"/>
    </xf>
    <xf numFmtId="0" fontId="13" fillId="0" borderId="0" xfId="0" applyFont="1"/>
    <xf numFmtId="0" fontId="9" fillId="0" borderId="31" xfId="0" applyFont="1" applyBorder="1" applyAlignment="1">
      <alignment horizontal="right"/>
    </xf>
    <xf numFmtId="0" fontId="14" fillId="0" borderId="0" xfId="0" applyFont="1" applyBorder="1"/>
    <xf numFmtId="164" fontId="10" fillId="0" borderId="0" xfId="0" applyNumberFormat="1" applyFont="1" applyBorder="1"/>
    <xf numFmtId="164" fontId="10" fillId="0" borderId="21" xfId="0" applyNumberFormat="1" applyFont="1" applyBorder="1"/>
    <xf numFmtId="0" fontId="14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0" fontId="9" fillId="0" borderId="32" xfId="0" applyFont="1" applyBorder="1" applyAlignment="1">
      <alignment horizontal="right"/>
    </xf>
    <xf numFmtId="0" fontId="14" fillId="0" borderId="22" xfId="0" applyFont="1" applyBorder="1"/>
    <xf numFmtId="0" fontId="10" fillId="0" borderId="22" xfId="0" applyFont="1" applyBorder="1" applyAlignment="1">
      <alignment horizontal="center"/>
    </xf>
    <xf numFmtId="164" fontId="10" fillId="0" borderId="22" xfId="0" applyNumberFormat="1" applyFont="1" applyBorder="1"/>
    <xf numFmtId="164" fontId="10" fillId="0" borderId="25" xfId="0" applyNumberFormat="1" applyFont="1" applyBorder="1"/>
    <xf numFmtId="0" fontId="13" fillId="0" borderId="30" xfId="0" applyFont="1" applyBorder="1" applyAlignment="1">
      <alignment horizontal="right"/>
    </xf>
    <xf numFmtId="0" fontId="15" fillId="0" borderId="14" xfId="0" applyFont="1" applyBorder="1"/>
    <xf numFmtId="164" fontId="10" fillId="0" borderId="14" xfId="0" applyNumberFormat="1" applyFont="1" applyBorder="1"/>
    <xf numFmtId="0" fontId="14" fillId="0" borderId="22" xfId="0" applyFont="1" applyBorder="1" applyAlignment="1">
      <alignment horizontal="left"/>
    </xf>
    <xf numFmtId="164" fontId="10" fillId="0" borderId="22" xfId="0" applyNumberFormat="1" applyFont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14" fillId="0" borderId="0" xfId="0" applyFont="1" applyFill="1" applyBorder="1"/>
    <xf numFmtId="164" fontId="10" fillId="0" borderId="0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10" fillId="0" borderId="27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164" fontId="10" fillId="0" borderId="33" xfId="0" applyNumberFormat="1" applyFont="1" applyBorder="1" applyAlignment="1">
      <alignment horizontal="center"/>
    </xf>
    <xf numFmtId="0" fontId="16" fillId="0" borderId="0" xfId="0" applyFont="1" applyBorder="1"/>
    <xf numFmtId="0" fontId="9" fillId="0" borderId="0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right"/>
    </xf>
    <xf numFmtId="0" fontId="16" fillId="0" borderId="35" xfId="0" applyFont="1" applyBorder="1"/>
    <xf numFmtId="0" fontId="9" fillId="0" borderId="35" xfId="0" applyFont="1" applyBorder="1" applyAlignment="1">
      <alignment horizontal="center"/>
    </xf>
    <xf numFmtId="164" fontId="9" fillId="0" borderId="36" xfId="0" applyNumberFormat="1" applyFont="1" applyBorder="1" applyAlignment="1">
      <alignment horizontal="center"/>
    </xf>
    <xf numFmtId="0" fontId="0" fillId="0" borderId="11" xfId="0" applyFont="1" applyBorder="1"/>
    <xf numFmtId="0" fontId="0" fillId="0" borderId="25" xfId="0" applyFont="1" applyBorder="1"/>
    <xf numFmtId="0" fontId="0" fillId="0" borderId="43" xfId="0" applyFont="1" applyBorder="1"/>
    <xf numFmtId="0" fontId="0" fillId="0" borderId="45" xfId="0" applyFont="1" applyBorder="1"/>
    <xf numFmtId="0" fontId="0" fillId="0" borderId="31" xfId="0" applyFont="1" applyBorder="1"/>
    <xf numFmtId="0" fontId="0" fillId="0" borderId="21" xfId="0" applyFont="1" applyBorder="1"/>
    <xf numFmtId="0" fontId="0" fillId="0" borderId="7" xfId="0" applyFont="1" applyBorder="1"/>
    <xf numFmtId="44" fontId="10" fillId="0" borderId="0" xfId="4" applyFont="1" applyAlignment="1">
      <alignment horizontal="center"/>
    </xf>
    <xf numFmtId="44" fontId="10" fillId="0" borderId="0" xfId="4" applyFont="1" applyBorder="1" applyAlignment="1">
      <alignment horizontal="center"/>
    </xf>
    <xf numFmtId="44" fontId="10" fillId="0" borderId="14" xfId="4" applyFont="1" applyBorder="1" applyAlignment="1">
      <alignment horizontal="center"/>
    </xf>
    <xf numFmtId="44" fontId="10" fillId="0" borderId="22" xfId="4" applyFont="1" applyBorder="1" applyAlignment="1">
      <alignment horizontal="center"/>
    </xf>
    <xf numFmtId="44" fontId="10" fillId="0" borderId="27" xfId="4" applyFont="1" applyBorder="1" applyAlignment="1">
      <alignment horizontal="center"/>
    </xf>
    <xf numFmtId="44" fontId="10" fillId="0" borderId="35" xfId="4" applyFont="1" applyBorder="1" applyAlignment="1">
      <alignment horizontal="center"/>
    </xf>
    <xf numFmtId="44" fontId="13" fillId="0" borderId="14" xfId="4" applyFont="1" applyBorder="1" applyAlignment="1">
      <alignment horizontal="center"/>
    </xf>
    <xf numFmtId="44" fontId="9" fillId="0" borderId="0" xfId="4" applyFont="1" applyBorder="1" applyAlignment="1">
      <alignment horizontal="center"/>
    </xf>
    <xf numFmtId="44" fontId="9" fillId="0" borderId="35" xfId="4" applyFont="1" applyBorder="1" applyAlignment="1">
      <alignment horizontal="center"/>
    </xf>
    <xf numFmtId="44" fontId="13" fillId="0" borderId="0" xfId="4" applyFont="1"/>
    <xf numFmtId="0" fontId="0" fillId="0" borderId="12" xfId="0" applyFont="1" applyBorder="1"/>
    <xf numFmtId="9" fontId="0" fillId="0" borderId="11" xfId="0" applyNumberFormat="1" applyFont="1" applyBorder="1"/>
    <xf numFmtId="0" fontId="0" fillId="0" borderId="17" xfId="0" applyFont="1" applyBorder="1"/>
    <xf numFmtId="3" fontId="19" fillId="0" borderId="17" xfId="0" applyNumberFormat="1" applyFont="1" applyFill="1" applyBorder="1"/>
    <xf numFmtId="3" fontId="19" fillId="0" borderId="43" xfId="0" applyNumberFormat="1" applyFont="1" applyFill="1" applyBorder="1"/>
    <xf numFmtId="0" fontId="0" fillId="0" borderId="1" xfId="0" applyFont="1" applyBorder="1"/>
    <xf numFmtId="164" fontId="20" fillId="0" borderId="0" xfId="0" applyNumberFormat="1" applyFont="1" applyBorder="1" applyAlignment="1">
      <alignment horizontal="center"/>
    </xf>
    <xf numFmtId="164" fontId="20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32" xfId="0" applyFont="1" applyBorder="1"/>
    <xf numFmtId="0" fontId="0" fillId="0" borderId="7" xfId="0" applyFont="1" applyFill="1" applyBorder="1"/>
    <xf numFmtId="0" fontId="0" fillId="0" borderId="12" xfId="0" applyFont="1" applyFill="1" applyBorder="1"/>
    <xf numFmtId="0" fontId="17" fillId="0" borderId="30" xfId="0" quotePrefix="1" applyFont="1" applyBorder="1" applyAlignment="1">
      <alignment horizontal="center"/>
    </xf>
    <xf numFmtId="0" fontId="17" fillId="0" borderId="15" xfId="0" quotePrefix="1" applyFont="1" applyBorder="1" applyAlignment="1">
      <alignment horizontal="center"/>
    </xf>
    <xf numFmtId="0" fontId="2" fillId="0" borderId="1" xfId="1" applyFont="1" applyBorder="1" applyAlignment="1" applyProtection="1">
      <alignment horizontal="center" vertical="center" textRotation="90" wrapText="1"/>
      <protection hidden="1"/>
    </xf>
    <xf numFmtId="0" fontId="2" fillId="0" borderId="3" xfId="1" applyFont="1" applyBorder="1" applyAlignment="1" applyProtection="1">
      <alignment horizontal="center" vertical="center" textRotation="90" wrapText="1"/>
      <protection hidden="1"/>
    </xf>
    <xf numFmtId="0" fontId="2" fillId="0" borderId="8" xfId="1" applyFont="1" applyBorder="1" applyAlignment="1" applyProtection="1">
      <alignment horizontal="center" vertical="center" textRotation="90" wrapText="1"/>
      <protection hidden="1"/>
    </xf>
    <xf numFmtId="0" fontId="2" fillId="0" borderId="6" xfId="1" applyFont="1" applyBorder="1" applyAlignment="1" applyProtection="1">
      <alignment horizontal="center" vertical="center" textRotation="90" wrapText="1"/>
      <protection hidden="1"/>
    </xf>
    <xf numFmtId="0" fontId="10" fillId="0" borderId="0" xfId="0" applyFont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quotePrefix="1" applyFont="1" applyBorder="1" applyAlignment="1">
      <alignment horizontal="center"/>
    </xf>
    <xf numFmtId="0" fontId="17" fillId="0" borderId="40" xfId="0" quotePrefix="1" applyFont="1" applyBorder="1" applyAlignment="1">
      <alignment horizontal="center"/>
    </xf>
    <xf numFmtId="0" fontId="17" fillId="0" borderId="46" xfId="0" quotePrefix="1" applyFont="1" applyBorder="1" applyAlignment="1">
      <alignment horizontal="center"/>
    </xf>
    <xf numFmtId="0" fontId="17" fillId="0" borderId="30" xfId="0" quotePrefix="1" applyFont="1" applyBorder="1" applyAlignment="1">
      <alignment horizontal="center"/>
    </xf>
    <xf numFmtId="0" fontId="17" fillId="0" borderId="15" xfId="0" quotePrefix="1" applyFont="1" applyBorder="1" applyAlignment="1">
      <alignment horizontal="center"/>
    </xf>
  </cellXfs>
  <cellStyles count="5">
    <cellStyle name="Currency" xfId="2" builtinId="4"/>
    <cellStyle name="Currency 2" xfId="4"/>
    <cellStyle name="Normal" xfId="0" builtinId="0"/>
    <cellStyle name="Percent" xfId="3" builtinId="5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Expected results (passive + waste reduction)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Assumed savings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'Att I (P+verspilling)'!$C$24:$C$28</c:f>
              <c:numCache>
                <c:formatCode>_("€"* #,##0.00_);_("€"* \(#,##0.00\);_("€"* "-"??_);_(@_)</c:formatCode>
                <c:ptCount val="5"/>
                <c:pt idx="0">
                  <c:v>176956.32637866668</c:v>
                </c:pt>
                <c:pt idx="1">
                  <c:v>101012.27942400001</c:v>
                </c:pt>
                <c:pt idx="2">
                  <c:v>101012.27942400001</c:v>
                </c:pt>
                <c:pt idx="3">
                  <c:v>101012.27942400001</c:v>
                </c:pt>
                <c:pt idx="4">
                  <c:v>101012.27942400001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5-46DC-A46B-D059AE4C4F31}"/>
            </c:ext>
          </c:extLst>
        </c:ser>
        <c:ser>
          <c:idx val="1"/>
          <c:order val="1"/>
          <c:tx>
            <c:v>Costs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'Att I (P+verspilling)'!$D$24:$D$28</c:f>
              <c:numCache>
                <c:formatCode>_("€"* #,##0.00_);_("€"* \(#,##0.00\);_("€"* "-"??_);_(@_)</c:formatCode>
                <c:ptCount val="5"/>
                <c:pt idx="0">
                  <c:v>-869277.20000000007</c:v>
                </c:pt>
                <c:pt idx="1">
                  <c:v>-11286.4</c:v>
                </c:pt>
                <c:pt idx="2">
                  <c:v>-11286.4</c:v>
                </c:pt>
                <c:pt idx="3">
                  <c:v>-11286.4</c:v>
                </c:pt>
                <c:pt idx="4">
                  <c:v>-11286.4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5-46DC-A46B-D059AE4C4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2414184"/>
        <c:axId val="632414512"/>
      </c:barChart>
      <c:lineChart>
        <c:grouping val="standard"/>
        <c:varyColors val="0"/>
        <c:ser>
          <c:idx val="2"/>
          <c:order val="2"/>
          <c:tx>
            <c:v>Potential result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'Att I (P+verspilling)'!$G$24:$G$28</c:f>
              <c:numCache>
                <c:formatCode>_("€"* #,##0.00_);_("€"* \(#,##0.00\);_("€"* "-"??_);_(@_)</c:formatCode>
                <c:ptCount val="5"/>
                <c:pt idx="0">
                  <c:v>-670089.79381333338</c:v>
                </c:pt>
                <c:pt idx="1">
                  <c:v>-563690.60453333333</c:v>
                </c:pt>
                <c:pt idx="2">
                  <c:v>-457291.41525333334</c:v>
                </c:pt>
                <c:pt idx="3">
                  <c:v>-350892.22597333335</c:v>
                </c:pt>
                <c:pt idx="4">
                  <c:v>-244493.03669333336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B5-46DC-A46B-D059AE4C4F31}"/>
            </c:ext>
          </c:extLst>
        </c:ser>
        <c:ser>
          <c:idx val="3"/>
          <c:order val="3"/>
          <c:tx>
            <c:v>Assumed result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'Att I (P+verspilling)'!$H$24:$H$28</c:f>
              <c:numCache>
                <c:formatCode>_("€"* #,##0.00_);_("€"* \(#,##0.00\);_("€"* "-"??_);_(@_)</c:formatCode>
                <c:ptCount val="5"/>
                <c:pt idx="0">
                  <c:v>-692320.87362133339</c:v>
                </c:pt>
                <c:pt idx="1">
                  <c:v>-602594.99419733335</c:v>
                </c:pt>
                <c:pt idx="2">
                  <c:v>-512869.11477333331</c:v>
                </c:pt>
                <c:pt idx="3">
                  <c:v>-423143.23534933326</c:v>
                </c:pt>
                <c:pt idx="4">
                  <c:v>-333417.35592533322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B5-46DC-A46B-D059AE4C4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414184"/>
        <c:axId val="632414512"/>
      </c:lineChart>
      <c:catAx>
        <c:axId val="632414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32414512"/>
        <c:crosses val="autoZero"/>
        <c:auto val="1"/>
        <c:lblAlgn val="ctr"/>
        <c:lblOffset val="100"/>
        <c:noMultiLvlLbl val="0"/>
      </c:catAx>
      <c:valAx>
        <c:axId val="63241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3241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Presumed</a:t>
            </a:r>
            <a:r>
              <a:rPr lang="nl-NL" baseline="0"/>
              <a:t> r</a:t>
            </a:r>
            <a:r>
              <a:rPr lang="nl-NL"/>
              <a:t>esult per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4049070185387272"/>
          <c:y val="0.12604924409469048"/>
          <c:w val="0.83920160682245393"/>
          <c:h val="0.75882719075530591"/>
        </c:manualLayout>
      </c:layout>
      <c:barChart>
        <c:barDir val="col"/>
        <c:grouping val="clustered"/>
        <c:varyColors val="0"/>
        <c:ser>
          <c:idx val="0"/>
          <c:order val="0"/>
          <c:tx>
            <c:v>Proceedings per year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'Att J (H+verspilling)'!$A$24:$A$28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'Att J (H+verspilling)'!$C$24:$C$28</c:f>
              <c:numCache>
                <c:formatCode>_("€"* #,##0.00_);_("€"* \(#,##0.00\);_("€"* "-"??_);_(@_)</c:formatCode>
                <c:ptCount val="5"/>
                <c:pt idx="0">
                  <c:v>179559.81294933334</c:v>
                </c:pt>
                <c:pt idx="1">
                  <c:v>124021.97256533336</c:v>
                </c:pt>
                <c:pt idx="2">
                  <c:v>124021.97256533336</c:v>
                </c:pt>
                <c:pt idx="3">
                  <c:v>124021.97256533336</c:v>
                </c:pt>
                <c:pt idx="4">
                  <c:v>124021.97256533336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D78-B041-686DD4BB99C4}"/>
            </c:ext>
          </c:extLst>
        </c:ser>
        <c:ser>
          <c:idx val="1"/>
          <c:order val="1"/>
          <c:tx>
            <c:v>Costs per year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'Att J (H+verspilling)'!$A$24:$A$28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'Att J (H+verspilling)'!$D$24:$D$28</c:f>
              <c:numCache>
                <c:formatCode>_("€"* #,##0.00_);_("€"* \(#,##0.00\);_("€"* "-"??_);_(@_)</c:formatCode>
                <c:ptCount val="5"/>
                <c:pt idx="0">
                  <c:v>-1258367.7</c:v>
                </c:pt>
                <c:pt idx="1">
                  <c:v>-12738.4</c:v>
                </c:pt>
                <c:pt idx="2">
                  <c:v>-14553.4</c:v>
                </c:pt>
                <c:pt idx="3">
                  <c:v>-12738.4</c:v>
                </c:pt>
                <c:pt idx="4">
                  <c:v>-14553.4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F-4D78-B041-686DD4BB9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8378904"/>
        <c:axId val="578377264"/>
      </c:barChart>
      <c:lineChart>
        <c:grouping val="standard"/>
        <c:varyColors val="0"/>
        <c:ser>
          <c:idx val="2"/>
          <c:order val="2"/>
          <c:tx>
            <c:v>Resultaat (aangenomen)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'Att J (H+verspilling)'!$H$24:$H$28</c:f>
              <c:numCache>
                <c:formatCode>_("€"* #,##0.00_);_("€"* \(#,##0.00\);_("€"* "-"??_);_(@_)</c:formatCode>
                <c:ptCount val="5"/>
                <c:pt idx="0">
                  <c:v>-1078807.8870506666</c:v>
                </c:pt>
                <c:pt idx="1">
                  <c:v>-967524.31448533328</c:v>
                </c:pt>
                <c:pt idx="2">
                  <c:v>-858055.74191999994</c:v>
                </c:pt>
                <c:pt idx="3">
                  <c:v>-746772.16935466661</c:v>
                </c:pt>
                <c:pt idx="4">
                  <c:v>-637303.59678933327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DF-4D78-B041-686DD4BB99C4}"/>
            </c:ext>
          </c:extLst>
        </c:ser>
        <c:ser>
          <c:idx val="3"/>
          <c:order val="3"/>
          <c:tx>
            <c:v>Resultaat (verwacht)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'Att J (H+verspilling)'!$G$24:$G$28</c:f>
              <c:numCache>
                <c:formatCode>_("€"* #,##0.00_);_("€"* \(#,##0.00\);_("€"* "-"??_);_(@_)</c:formatCode>
                <c:ptCount val="5"/>
                <c:pt idx="0">
                  <c:v>-1049166.4473066665</c:v>
                </c:pt>
                <c:pt idx="1">
                  <c:v>-915651.79493333318</c:v>
                </c:pt>
                <c:pt idx="2">
                  <c:v>-783952.14255999983</c:v>
                </c:pt>
                <c:pt idx="3">
                  <c:v>-650437.49018666649</c:v>
                </c:pt>
                <c:pt idx="4">
                  <c:v>-518737.83781333314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DF-4D78-B041-686DD4BB9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378904"/>
        <c:axId val="578377264"/>
      </c:lineChart>
      <c:catAx>
        <c:axId val="578378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78377264"/>
        <c:crosses val="autoZero"/>
        <c:auto val="1"/>
        <c:lblAlgn val="ctr"/>
        <c:lblOffset val="100"/>
        <c:noMultiLvlLbl val="0"/>
      </c:catAx>
      <c:valAx>
        <c:axId val="57837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78378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508001</xdr:colOff>
      <xdr:row>23</xdr:row>
      <xdr:rowOff>168274</xdr:rowOff>
    </xdr:from>
    <xdr:to>
      <xdr:col>11</xdr:col>
      <xdr:colOff>1270001</xdr:colOff>
      <xdr:row>38</xdr:row>
      <xdr:rowOff>32807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2894FE-5232-4FD2-AC41-0083F0114F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455083</xdr:colOff>
      <xdr:row>26</xdr:row>
      <xdr:rowOff>9526</xdr:rowOff>
    </xdr:from>
    <xdr:to>
      <xdr:col>13</xdr:col>
      <xdr:colOff>772583</xdr:colOff>
      <xdr:row>45</xdr:row>
      <xdr:rowOff>105834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9F0EDB-BA3D-4E4C-89CB-BAE050221F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29"/>
  <sheetViews>
    <sheetView topLeftCell="A22" zoomScale="80" zoomScaleNormal="80" workbookViewId="0">
      <selection activeCell="R38" sqref="R38"/>
    </sheetView>
  </sheetViews>
  <sheetFormatPr defaultRowHeight="15" x14ac:dyDescent="0.25"/>
  <cols>
    <col min="1" max="1" width="11.85546875" style="17" customWidth="1"/>
    <col min="2" max="2" width="50.85546875" style="17" bestFit="1" customWidth="1"/>
    <col min="3" max="5" width="9.140625" style="17"/>
    <col min="6" max="6" width="11.28515625" style="17" bestFit="1" customWidth="1"/>
    <col min="7" max="7" width="9.140625" style="17"/>
    <col min="8" max="8" width="10.42578125" style="17" bestFit="1" customWidth="1"/>
    <col min="9" max="16384" width="9.140625" style="17"/>
  </cols>
  <sheetData>
    <row r="1" spans="1:30" ht="15.75" thickBot="1" x14ac:dyDescent="0.3"/>
    <row r="2" spans="1:30" ht="15" customHeight="1" thickBot="1" x14ac:dyDescent="0.3">
      <c r="A2" s="31" t="s">
        <v>68</v>
      </c>
      <c r="B2" s="261" t="s">
        <v>69</v>
      </c>
      <c r="C2" s="32"/>
      <c r="D2" s="32"/>
      <c r="E2" s="32"/>
      <c r="F2" s="32"/>
      <c r="G2" s="32"/>
      <c r="H2" s="32"/>
      <c r="I2" s="248"/>
      <c r="J2" s="15" t="s">
        <v>81</v>
      </c>
      <c r="K2" s="18" t="s">
        <v>83</v>
      </c>
      <c r="L2" s="18" t="s">
        <v>84</v>
      </c>
      <c r="M2" s="18" t="s">
        <v>85</v>
      </c>
      <c r="N2" s="18" t="s">
        <v>86</v>
      </c>
      <c r="O2" s="18" t="s">
        <v>87</v>
      </c>
      <c r="P2" s="15" t="s">
        <v>88</v>
      </c>
      <c r="Q2" s="18" t="s">
        <v>89</v>
      </c>
      <c r="R2" s="18" t="s">
        <v>90</v>
      </c>
      <c r="S2" s="15" t="s">
        <v>91</v>
      </c>
      <c r="T2" s="18" t="s">
        <v>92</v>
      </c>
      <c r="U2" s="15" t="s">
        <v>93</v>
      </c>
      <c r="V2" s="18" t="s">
        <v>94</v>
      </c>
      <c r="W2" s="18" t="s">
        <v>95</v>
      </c>
      <c r="X2" s="18" t="s">
        <v>96</v>
      </c>
      <c r="Y2" s="18" t="s">
        <v>97</v>
      </c>
      <c r="Z2" s="18" t="s">
        <v>98</v>
      </c>
      <c r="AA2" s="15" t="s">
        <v>99</v>
      </c>
      <c r="AB2" s="18" t="s">
        <v>100</v>
      </c>
      <c r="AC2" s="18" t="s">
        <v>101</v>
      </c>
      <c r="AD2" s="16" t="s">
        <v>102</v>
      </c>
    </row>
    <row r="3" spans="1:30" ht="15" customHeight="1" x14ac:dyDescent="0.25">
      <c r="A3" s="457" t="s">
        <v>0</v>
      </c>
      <c r="B3" s="262"/>
      <c r="C3" s="249"/>
      <c r="D3" s="249"/>
      <c r="E3" s="249"/>
      <c r="F3" s="249"/>
      <c r="G3" s="249"/>
      <c r="H3" s="263"/>
      <c r="I3" s="240"/>
      <c r="J3" s="42" t="s">
        <v>82</v>
      </c>
      <c r="K3" s="13" t="s">
        <v>82</v>
      </c>
      <c r="L3" s="234" t="s">
        <v>82</v>
      </c>
      <c r="M3" s="13" t="s">
        <v>82</v>
      </c>
      <c r="N3" s="13" t="s">
        <v>82</v>
      </c>
      <c r="O3" s="13" t="s">
        <v>82</v>
      </c>
      <c r="P3" s="13" t="s">
        <v>82</v>
      </c>
      <c r="Q3" s="13" t="s">
        <v>82</v>
      </c>
      <c r="R3" s="13" t="s">
        <v>82</v>
      </c>
      <c r="S3" s="13" t="s">
        <v>82</v>
      </c>
      <c r="T3" s="13" t="s">
        <v>82</v>
      </c>
      <c r="U3" s="13" t="s">
        <v>82</v>
      </c>
      <c r="V3" s="13" t="s">
        <v>82</v>
      </c>
      <c r="W3" s="13" t="s">
        <v>82</v>
      </c>
      <c r="X3" s="13" t="s">
        <v>82</v>
      </c>
      <c r="Y3" s="13" t="s">
        <v>82</v>
      </c>
      <c r="Z3" s="13" t="s">
        <v>82</v>
      </c>
      <c r="AA3" s="234" t="s">
        <v>82</v>
      </c>
      <c r="AB3" s="42" t="s">
        <v>82</v>
      </c>
      <c r="AC3" s="13" t="s">
        <v>82</v>
      </c>
      <c r="AD3" s="33" t="s">
        <v>82</v>
      </c>
    </row>
    <row r="4" spans="1:30" ht="15.75" thickBot="1" x14ac:dyDescent="0.3">
      <c r="A4" s="458"/>
      <c r="B4" s="1" t="s">
        <v>0</v>
      </c>
      <c r="C4" s="251" t="s">
        <v>264</v>
      </c>
      <c r="D4" s="251" t="s">
        <v>64</v>
      </c>
      <c r="E4" s="251" t="s">
        <v>65</v>
      </c>
      <c r="F4" s="251" t="s">
        <v>66</v>
      </c>
      <c r="G4" s="251" t="s">
        <v>67</v>
      </c>
      <c r="H4" s="264" t="s">
        <v>255</v>
      </c>
      <c r="I4" s="268"/>
      <c r="J4" s="37"/>
      <c r="K4" s="235"/>
      <c r="L4" s="3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4"/>
      <c r="AB4" s="37"/>
      <c r="AC4" s="5"/>
      <c r="AD4" s="34"/>
    </row>
    <row r="5" spans="1:30" ht="15.75" customHeight="1" x14ac:dyDescent="0.25">
      <c r="A5" s="458"/>
      <c r="B5" s="2" t="s">
        <v>1</v>
      </c>
      <c r="C5" s="252">
        <f>SUM(J5:AD5)</f>
        <v>24</v>
      </c>
      <c r="D5" s="253">
        <f t="shared" ref="D5:D18" si="0">MIN(J5:AD5)</f>
        <v>2</v>
      </c>
      <c r="E5" s="253">
        <f t="shared" ref="E5:E18" si="1">MAX(J5:AD5)</f>
        <v>6</v>
      </c>
      <c r="F5" s="254">
        <f t="shared" ref="F5:F18" si="2">AVERAGE(J5:AD5)</f>
        <v>4.8</v>
      </c>
      <c r="G5" s="253">
        <f t="shared" ref="G5:G18" si="3">MEDIAN(J5:AD5)</f>
        <v>5</v>
      </c>
      <c r="H5" s="265">
        <v>5</v>
      </c>
      <c r="I5" s="240"/>
      <c r="J5" s="43">
        <v>2</v>
      </c>
      <c r="K5" s="236">
        <v>6</v>
      </c>
      <c r="L5" s="4">
        <v>5</v>
      </c>
      <c r="M5" s="6">
        <v>6</v>
      </c>
      <c r="N5" s="9">
        <v>5</v>
      </c>
      <c r="O5" s="9"/>
      <c r="P5" s="20"/>
      <c r="Q5" s="6"/>
      <c r="R5" s="6"/>
      <c r="S5" s="6"/>
      <c r="T5" s="6"/>
      <c r="U5" s="6"/>
      <c r="V5" s="6"/>
      <c r="W5" s="6"/>
      <c r="X5" s="6"/>
      <c r="Y5" s="6"/>
      <c r="Z5" s="6"/>
      <c r="AA5" s="4"/>
      <c r="AB5" s="43"/>
      <c r="AC5" s="6"/>
      <c r="AD5" s="4"/>
    </row>
    <row r="6" spans="1:30" x14ac:dyDescent="0.25">
      <c r="A6" s="458"/>
      <c r="B6" s="2" t="s">
        <v>2</v>
      </c>
      <c r="C6" s="255">
        <f t="shared" ref="C6:C18" si="4">SUM(J6:AD6)</f>
        <v>100</v>
      </c>
      <c r="D6" s="249">
        <f t="shared" si="0"/>
        <v>8</v>
      </c>
      <c r="E6" s="249">
        <f t="shared" si="1"/>
        <v>18</v>
      </c>
      <c r="F6" s="250">
        <f t="shared" si="2"/>
        <v>12.5</v>
      </c>
      <c r="G6" s="249">
        <f t="shared" si="3"/>
        <v>12.5</v>
      </c>
      <c r="H6" s="263">
        <v>8</v>
      </c>
      <c r="I6" s="240"/>
      <c r="J6" s="43">
        <v>18</v>
      </c>
      <c r="K6" s="236">
        <v>15</v>
      </c>
      <c r="L6" s="4">
        <v>13</v>
      </c>
      <c r="M6" s="6">
        <v>8</v>
      </c>
      <c r="N6" s="9">
        <v>9</v>
      </c>
      <c r="O6" s="9">
        <v>9</v>
      </c>
      <c r="P6" s="9">
        <v>12</v>
      </c>
      <c r="Q6" s="6">
        <f>16</f>
        <v>16</v>
      </c>
      <c r="R6" s="6"/>
      <c r="S6" s="6"/>
      <c r="T6" s="6"/>
      <c r="U6" s="6"/>
      <c r="V6" s="6"/>
      <c r="W6" s="6"/>
      <c r="X6" s="6"/>
      <c r="Y6" s="6"/>
      <c r="Z6" s="6"/>
      <c r="AA6" s="4"/>
      <c r="AB6" s="43"/>
      <c r="AC6" s="6"/>
      <c r="AD6" s="4"/>
    </row>
    <row r="7" spans="1:30" x14ac:dyDescent="0.25">
      <c r="A7" s="458"/>
      <c r="B7" s="2" t="s">
        <v>3</v>
      </c>
      <c r="C7" s="255">
        <f t="shared" si="4"/>
        <v>145</v>
      </c>
      <c r="D7" s="249">
        <f t="shared" si="0"/>
        <v>19</v>
      </c>
      <c r="E7" s="249">
        <f t="shared" si="1"/>
        <v>33</v>
      </c>
      <c r="F7" s="250">
        <f t="shared" si="2"/>
        <v>24.166666666666668</v>
      </c>
      <c r="G7" s="249">
        <f t="shared" si="3"/>
        <v>23</v>
      </c>
      <c r="H7" s="263">
        <v>6</v>
      </c>
      <c r="I7" s="240"/>
      <c r="J7" s="43">
        <v>33</v>
      </c>
      <c r="K7" s="236">
        <v>22</v>
      </c>
      <c r="L7" s="4">
        <v>19</v>
      </c>
      <c r="M7" s="9">
        <v>25</v>
      </c>
      <c r="N7" s="9">
        <v>23</v>
      </c>
      <c r="O7" s="9">
        <v>23</v>
      </c>
      <c r="P7" s="9"/>
      <c r="Q7" s="6"/>
      <c r="R7" s="6"/>
      <c r="S7" s="6"/>
      <c r="T7" s="6"/>
      <c r="U7" s="6"/>
      <c r="V7" s="6"/>
      <c r="W7" s="6"/>
      <c r="X7" s="6"/>
      <c r="Y7" s="6"/>
      <c r="Z7" s="6"/>
      <c r="AA7" s="4"/>
      <c r="AB7" s="43"/>
      <c r="AC7" s="6"/>
      <c r="AD7" s="4"/>
    </row>
    <row r="8" spans="1:30" x14ac:dyDescent="0.25">
      <c r="A8" s="458"/>
      <c r="B8" s="2" t="s">
        <v>4</v>
      </c>
      <c r="C8" s="255">
        <f t="shared" si="4"/>
        <v>37</v>
      </c>
      <c r="D8" s="249">
        <f t="shared" si="0"/>
        <v>2</v>
      </c>
      <c r="E8" s="249">
        <f t="shared" si="1"/>
        <v>8</v>
      </c>
      <c r="F8" s="250">
        <f t="shared" si="2"/>
        <v>5.2857142857142856</v>
      </c>
      <c r="G8" s="249">
        <f t="shared" si="3"/>
        <v>6</v>
      </c>
      <c r="H8" s="263">
        <v>7</v>
      </c>
      <c r="I8" s="240"/>
      <c r="J8" s="43">
        <v>8</v>
      </c>
      <c r="K8" s="236">
        <v>2</v>
      </c>
      <c r="L8" s="4">
        <v>4</v>
      </c>
      <c r="M8" s="6">
        <v>6</v>
      </c>
      <c r="N8" s="9">
        <v>7</v>
      </c>
      <c r="O8" s="9">
        <v>2</v>
      </c>
      <c r="P8" s="9">
        <f>2*4</f>
        <v>8</v>
      </c>
      <c r="Q8" s="6"/>
      <c r="R8" s="6"/>
      <c r="S8" s="6"/>
      <c r="T8" s="6"/>
      <c r="U8" s="6"/>
      <c r="V8" s="6"/>
      <c r="W8" s="6"/>
      <c r="X8" s="6"/>
      <c r="Y8" s="6"/>
      <c r="Z8" s="6"/>
      <c r="AA8" s="4"/>
      <c r="AB8" s="43"/>
      <c r="AC8" s="6"/>
      <c r="AD8" s="4"/>
    </row>
    <row r="9" spans="1:30" x14ac:dyDescent="0.25">
      <c r="A9" s="458"/>
      <c r="B9" s="2" t="s">
        <v>5</v>
      </c>
      <c r="C9" s="255">
        <f t="shared" si="4"/>
        <v>55</v>
      </c>
      <c r="D9" s="249">
        <f t="shared" si="0"/>
        <v>1</v>
      </c>
      <c r="E9" s="249">
        <f t="shared" si="1"/>
        <v>9</v>
      </c>
      <c r="F9" s="250">
        <f t="shared" si="2"/>
        <v>4.583333333333333</v>
      </c>
      <c r="G9" s="249">
        <f t="shared" si="3"/>
        <v>5</v>
      </c>
      <c r="H9" s="263">
        <v>12</v>
      </c>
      <c r="I9" s="240"/>
      <c r="J9" s="43">
        <v>5</v>
      </c>
      <c r="K9" s="236">
        <v>9</v>
      </c>
      <c r="L9" s="4">
        <v>4</v>
      </c>
      <c r="M9" s="6">
        <v>7</v>
      </c>
      <c r="N9" s="9">
        <v>5</v>
      </c>
      <c r="O9" s="9">
        <v>4</v>
      </c>
      <c r="P9" s="9">
        <v>5</v>
      </c>
      <c r="Q9" s="6">
        <v>1</v>
      </c>
      <c r="R9" s="6">
        <v>2</v>
      </c>
      <c r="S9" s="6">
        <v>2</v>
      </c>
      <c r="T9" s="6">
        <v>6</v>
      </c>
      <c r="U9" s="6">
        <v>5</v>
      </c>
      <c r="V9" s="6"/>
      <c r="W9" s="6"/>
      <c r="X9" s="6"/>
      <c r="Y9" s="6"/>
      <c r="Z9" s="6"/>
      <c r="AA9" s="4"/>
      <c r="AB9" s="43"/>
      <c r="AC9" s="6"/>
      <c r="AD9" s="4"/>
    </row>
    <row r="10" spans="1:30" x14ac:dyDescent="0.25">
      <c r="A10" s="458"/>
      <c r="B10" s="2" t="s">
        <v>6</v>
      </c>
      <c r="C10" s="255">
        <f t="shared" si="4"/>
        <v>43</v>
      </c>
      <c r="D10" s="249">
        <f t="shared" si="0"/>
        <v>7</v>
      </c>
      <c r="E10" s="249">
        <f t="shared" si="1"/>
        <v>14</v>
      </c>
      <c r="F10" s="250">
        <f t="shared" si="2"/>
        <v>10.75</v>
      </c>
      <c r="G10" s="249">
        <f t="shared" si="3"/>
        <v>11</v>
      </c>
      <c r="H10" s="263">
        <v>4</v>
      </c>
      <c r="I10" s="240"/>
      <c r="J10" s="43">
        <v>12</v>
      </c>
      <c r="K10" s="236">
        <v>14</v>
      </c>
      <c r="L10" s="4">
        <v>10</v>
      </c>
      <c r="M10" s="6">
        <v>7</v>
      </c>
      <c r="N10" s="9"/>
      <c r="O10" s="9"/>
      <c r="P10" s="9"/>
      <c r="Q10" s="6"/>
      <c r="R10" s="6"/>
      <c r="S10" s="6"/>
      <c r="T10" s="6"/>
      <c r="U10" s="6"/>
      <c r="V10" s="6"/>
      <c r="W10" s="6"/>
      <c r="X10" s="6"/>
      <c r="Y10" s="6"/>
      <c r="Z10" s="6"/>
      <c r="AA10" s="4"/>
      <c r="AB10" s="43"/>
      <c r="AC10" s="6"/>
      <c r="AD10" s="4"/>
    </row>
    <row r="11" spans="1:30" x14ac:dyDescent="0.25">
      <c r="A11" s="458"/>
      <c r="B11" s="2" t="s">
        <v>7</v>
      </c>
      <c r="C11" s="255">
        <f t="shared" si="4"/>
        <v>19</v>
      </c>
      <c r="D11" s="249">
        <f t="shared" si="0"/>
        <v>4</v>
      </c>
      <c r="E11" s="249">
        <f t="shared" si="1"/>
        <v>9</v>
      </c>
      <c r="F11" s="250">
        <f t="shared" si="2"/>
        <v>6.333333333333333</v>
      </c>
      <c r="G11" s="249">
        <f t="shared" si="3"/>
        <v>6</v>
      </c>
      <c r="H11" s="263">
        <v>3</v>
      </c>
      <c r="I11" s="240"/>
      <c r="J11" s="43">
        <v>4</v>
      </c>
      <c r="K11" s="236">
        <v>6</v>
      </c>
      <c r="L11" s="4">
        <v>9</v>
      </c>
      <c r="M11" s="6"/>
      <c r="N11" s="9"/>
      <c r="O11" s="9"/>
      <c r="P11" s="9"/>
      <c r="Q11" s="6"/>
      <c r="R11" s="6"/>
      <c r="S11" s="6"/>
      <c r="T11" s="6"/>
      <c r="U11" s="6"/>
      <c r="V11" s="6"/>
      <c r="W11" s="6"/>
      <c r="X11" s="6"/>
      <c r="Y11" s="6"/>
      <c r="Z11" s="6"/>
      <c r="AA11" s="4"/>
      <c r="AB11" s="43"/>
      <c r="AC11" s="6"/>
      <c r="AD11" s="4"/>
    </row>
    <row r="12" spans="1:30" x14ac:dyDescent="0.25">
      <c r="A12" s="458"/>
      <c r="B12" s="328" t="s">
        <v>8</v>
      </c>
      <c r="C12" s="329">
        <f t="shared" si="4"/>
        <v>30</v>
      </c>
      <c r="D12" s="330">
        <f t="shared" si="0"/>
        <v>8</v>
      </c>
      <c r="E12" s="330">
        <f t="shared" si="1"/>
        <v>14</v>
      </c>
      <c r="F12" s="331">
        <f t="shared" si="2"/>
        <v>10</v>
      </c>
      <c r="G12" s="330">
        <f t="shared" si="3"/>
        <v>8</v>
      </c>
      <c r="H12" s="332">
        <v>3</v>
      </c>
      <c r="I12" s="333"/>
      <c r="J12" s="334">
        <v>14</v>
      </c>
      <c r="K12" s="335">
        <v>8</v>
      </c>
      <c r="L12" s="336">
        <v>8</v>
      </c>
      <c r="M12" s="337"/>
      <c r="N12" s="338"/>
      <c r="O12" s="338"/>
      <c r="P12" s="338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6"/>
      <c r="AB12" s="334"/>
      <c r="AC12" s="337"/>
      <c r="AD12" s="336"/>
    </row>
    <row r="13" spans="1:30" x14ac:dyDescent="0.25">
      <c r="A13" s="458"/>
      <c r="B13" s="328" t="s">
        <v>9</v>
      </c>
      <c r="C13" s="329">
        <f t="shared" si="4"/>
        <v>41</v>
      </c>
      <c r="D13" s="330">
        <f t="shared" si="0"/>
        <v>11</v>
      </c>
      <c r="E13" s="330">
        <f t="shared" si="1"/>
        <v>18</v>
      </c>
      <c r="F13" s="331">
        <f t="shared" si="2"/>
        <v>13.666666666666666</v>
      </c>
      <c r="G13" s="330">
        <f t="shared" si="3"/>
        <v>12</v>
      </c>
      <c r="H13" s="332">
        <v>3</v>
      </c>
      <c r="I13" s="333"/>
      <c r="J13" s="334">
        <v>11</v>
      </c>
      <c r="K13" s="335">
        <v>18</v>
      </c>
      <c r="L13" s="336">
        <v>12</v>
      </c>
      <c r="M13" s="337"/>
      <c r="N13" s="338"/>
      <c r="O13" s="338"/>
      <c r="P13" s="338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6"/>
      <c r="AB13" s="334"/>
      <c r="AC13" s="337"/>
      <c r="AD13" s="336"/>
    </row>
    <row r="14" spans="1:30" ht="15" customHeight="1" x14ac:dyDescent="0.25">
      <c r="A14" s="458"/>
      <c r="B14" s="2" t="s">
        <v>10</v>
      </c>
      <c r="C14" s="255">
        <f t="shared" si="4"/>
        <v>22</v>
      </c>
      <c r="D14" s="249">
        <f t="shared" si="0"/>
        <v>10</v>
      </c>
      <c r="E14" s="249">
        <f t="shared" si="1"/>
        <v>12</v>
      </c>
      <c r="F14" s="250">
        <f t="shared" si="2"/>
        <v>11</v>
      </c>
      <c r="G14" s="249">
        <f t="shared" si="3"/>
        <v>11</v>
      </c>
      <c r="H14" s="263">
        <v>2</v>
      </c>
      <c r="I14" s="240"/>
      <c r="J14" s="43">
        <v>12</v>
      </c>
      <c r="K14" s="236">
        <v>10</v>
      </c>
      <c r="L14" s="4"/>
      <c r="M14" s="6"/>
      <c r="N14" s="9"/>
      <c r="O14" s="9"/>
      <c r="P14" s="9"/>
      <c r="Q14" s="6"/>
      <c r="R14" s="6"/>
      <c r="S14" s="6"/>
      <c r="T14" s="6"/>
      <c r="U14" s="6"/>
      <c r="V14" s="6"/>
      <c r="W14" s="6"/>
      <c r="X14" s="6"/>
      <c r="Y14" s="6"/>
      <c r="Z14" s="6"/>
      <c r="AA14" s="4"/>
      <c r="AB14" s="43"/>
      <c r="AC14" s="6"/>
      <c r="AD14" s="4"/>
    </row>
    <row r="15" spans="1:30" x14ac:dyDescent="0.25">
      <c r="A15" s="458"/>
      <c r="B15" s="2" t="s">
        <v>11</v>
      </c>
      <c r="C15" s="255">
        <f t="shared" si="4"/>
        <v>211</v>
      </c>
      <c r="D15" s="249">
        <f t="shared" si="0"/>
        <v>8</v>
      </c>
      <c r="E15" s="249">
        <f t="shared" si="1"/>
        <v>19</v>
      </c>
      <c r="F15" s="250">
        <f t="shared" si="2"/>
        <v>13.1875</v>
      </c>
      <c r="G15" s="249">
        <f t="shared" si="3"/>
        <v>13.5</v>
      </c>
      <c r="H15" s="263">
        <v>16</v>
      </c>
      <c r="I15" s="240"/>
      <c r="J15" s="43">
        <v>11</v>
      </c>
      <c r="K15" s="236">
        <v>16</v>
      </c>
      <c r="L15" s="4">
        <v>9</v>
      </c>
      <c r="M15" s="6">
        <v>9</v>
      </c>
      <c r="N15" s="9">
        <v>16</v>
      </c>
      <c r="O15" s="9">
        <v>14</v>
      </c>
      <c r="P15" s="9">
        <v>14</v>
      </c>
      <c r="Q15" s="6">
        <v>19</v>
      </c>
      <c r="R15" s="6">
        <v>15</v>
      </c>
      <c r="S15" s="6">
        <v>8</v>
      </c>
      <c r="T15" s="6">
        <v>15</v>
      </c>
      <c r="U15" s="6">
        <v>18</v>
      </c>
      <c r="V15" s="6">
        <v>13</v>
      </c>
      <c r="W15" s="6">
        <v>12</v>
      </c>
      <c r="X15" s="6">
        <v>12</v>
      </c>
      <c r="Y15" s="6">
        <v>10</v>
      </c>
      <c r="Z15" s="6"/>
      <c r="AA15" s="4"/>
      <c r="AB15" s="43"/>
      <c r="AC15" s="6"/>
      <c r="AD15" s="4"/>
    </row>
    <row r="16" spans="1:30" x14ac:dyDescent="0.25">
      <c r="A16" s="458"/>
      <c r="B16" s="2" t="s">
        <v>12</v>
      </c>
      <c r="C16" s="255">
        <f t="shared" si="4"/>
        <v>19</v>
      </c>
      <c r="D16" s="249">
        <f t="shared" si="0"/>
        <v>5</v>
      </c>
      <c r="E16" s="249">
        <f t="shared" si="1"/>
        <v>8</v>
      </c>
      <c r="F16" s="250">
        <f t="shared" si="2"/>
        <v>6.333333333333333</v>
      </c>
      <c r="G16" s="249">
        <f t="shared" si="3"/>
        <v>6</v>
      </c>
      <c r="H16" s="263">
        <v>3</v>
      </c>
      <c r="I16" s="240"/>
      <c r="J16" s="43">
        <v>8</v>
      </c>
      <c r="K16" s="236">
        <v>6</v>
      </c>
      <c r="L16" s="4">
        <v>5</v>
      </c>
      <c r="M16" s="6"/>
      <c r="N16" s="9"/>
      <c r="O16" s="9"/>
      <c r="P16" s="9"/>
      <c r="Q16" s="6"/>
      <c r="R16" s="6"/>
      <c r="S16" s="6"/>
      <c r="T16" s="6"/>
      <c r="U16" s="6"/>
      <c r="V16" s="6"/>
      <c r="W16" s="6"/>
      <c r="X16" s="6"/>
      <c r="Y16" s="6"/>
      <c r="Z16" s="6"/>
      <c r="AA16" s="4"/>
      <c r="AB16" s="43"/>
      <c r="AC16" s="6"/>
      <c r="AD16" s="4"/>
    </row>
    <row r="17" spans="1:30" x14ac:dyDescent="0.25">
      <c r="A17" s="458"/>
      <c r="B17" s="2" t="s">
        <v>13</v>
      </c>
      <c r="C17" s="255">
        <f t="shared" si="4"/>
        <v>15</v>
      </c>
      <c r="D17" s="249">
        <f t="shared" si="0"/>
        <v>15</v>
      </c>
      <c r="E17" s="249">
        <f t="shared" si="1"/>
        <v>15</v>
      </c>
      <c r="F17" s="250">
        <f t="shared" si="2"/>
        <v>15</v>
      </c>
      <c r="G17" s="249">
        <f t="shared" si="3"/>
        <v>15</v>
      </c>
      <c r="H17" s="263">
        <v>1</v>
      </c>
      <c r="I17" s="240"/>
      <c r="J17" s="43">
        <v>15</v>
      </c>
      <c r="K17" s="236"/>
      <c r="L17" s="4"/>
      <c r="M17" s="6"/>
      <c r="N17" s="9"/>
      <c r="O17" s="9"/>
      <c r="P17" s="9"/>
      <c r="Q17" s="6"/>
      <c r="R17" s="6"/>
      <c r="S17" s="6"/>
      <c r="T17" s="6"/>
      <c r="U17" s="6"/>
      <c r="V17" s="6"/>
      <c r="W17" s="6"/>
      <c r="X17" s="6"/>
      <c r="Y17" s="6"/>
      <c r="Z17" s="6"/>
      <c r="AA17" s="4"/>
      <c r="AB17" s="43"/>
      <c r="AC17" s="6"/>
      <c r="AD17" s="4"/>
    </row>
    <row r="18" spans="1:30" x14ac:dyDescent="0.25">
      <c r="A18" s="458"/>
      <c r="B18" s="39" t="s">
        <v>14</v>
      </c>
      <c r="C18" s="255">
        <f t="shared" si="4"/>
        <v>16</v>
      </c>
      <c r="D18" s="249">
        <f t="shared" si="0"/>
        <v>2</v>
      </c>
      <c r="E18" s="249">
        <f t="shared" si="1"/>
        <v>5</v>
      </c>
      <c r="F18" s="250">
        <f t="shared" si="2"/>
        <v>3.2</v>
      </c>
      <c r="G18" s="249">
        <f t="shared" si="3"/>
        <v>3</v>
      </c>
      <c r="H18" s="263">
        <v>5</v>
      </c>
      <c r="I18" s="240"/>
      <c r="J18" s="43">
        <v>5</v>
      </c>
      <c r="K18" s="236">
        <v>2</v>
      </c>
      <c r="L18" s="4">
        <v>3</v>
      </c>
      <c r="M18" s="6">
        <v>3</v>
      </c>
      <c r="N18" s="9">
        <v>3</v>
      </c>
      <c r="O18" s="9"/>
      <c r="P18" s="9"/>
      <c r="Q18" s="6"/>
      <c r="R18" s="6"/>
      <c r="S18" s="6"/>
      <c r="T18" s="6"/>
      <c r="U18" s="6"/>
      <c r="V18" s="6"/>
      <c r="W18" s="6"/>
      <c r="X18" s="6"/>
      <c r="Y18" s="6"/>
      <c r="Z18" s="6"/>
      <c r="AA18" s="4"/>
      <c r="AB18" s="43"/>
      <c r="AC18" s="6"/>
      <c r="AD18" s="4"/>
    </row>
    <row r="19" spans="1:30" ht="15" customHeight="1" x14ac:dyDescent="0.25">
      <c r="A19" s="457" t="s">
        <v>15</v>
      </c>
      <c r="B19" s="1" t="s">
        <v>15</v>
      </c>
      <c r="C19" s="256"/>
      <c r="D19" s="38"/>
      <c r="E19" s="38"/>
      <c r="F19" s="41"/>
      <c r="G19" s="38"/>
      <c r="H19" s="266"/>
      <c r="I19" s="268"/>
      <c r="J19" s="37"/>
      <c r="K19" s="235"/>
      <c r="L19" s="34"/>
      <c r="M19" s="5"/>
      <c r="N19" s="10"/>
      <c r="O19" s="10"/>
      <c r="P19" s="10"/>
      <c r="Q19" s="5"/>
      <c r="R19" s="5"/>
      <c r="S19" s="5"/>
      <c r="T19" s="5"/>
      <c r="U19" s="5"/>
      <c r="V19" s="5"/>
      <c r="W19" s="5"/>
      <c r="X19" s="5"/>
      <c r="Y19" s="5"/>
      <c r="Z19" s="5"/>
      <c r="AA19" s="34"/>
      <c r="AB19" s="37"/>
      <c r="AC19" s="5"/>
      <c r="AD19" s="34"/>
    </row>
    <row r="20" spans="1:30" x14ac:dyDescent="0.25">
      <c r="A20" s="458"/>
      <c r="B20" s="40" t="s">
        <v>16</v>
      </c>
      <c r="C20" s="255">
        <f>SUM(J20:AD20)</f>
        <v>30</v>
      </c>
      <c r="D20" s="249">
        <f t="shared" ref="D20:D25" si="5">MIN(J20:AD20)</f>
        <v>4</v>
      </c>
      <c r="E20" s="249">
        <f t="shared" ref="E20:E25" si="6">MAX(J20:AD20)</f>
        <v>7</v>
      </c>
      <c r="F20" s="250">
        <f t="shared" ref="F20:F25" si="7">AVERAGE(J20:AD20)</f>
        <v>6</v>
      </c>
      <c r="G20" s="249">
        <f t="shared" ref="G20:G25" si="8">MEDIAN(J20:AD20)</f>
        <v>6</v>
      </c>
      <c r="H20" s="263">
        <v>5</v>
      </c>
      <c r="I20" s="240"/>
      <c r="J20" s="43">
        <v>6</v>
      </c>
      <c r="K20" s="236">
        <v>4</v>
      </c>
      <c r="L20" s="4">
        <v>7</v>
      </c>
      <c r="M20" s="6">
        <v>7</v>
      </c>
      <c r="N20" s="9">
        <v>6</v>
      </c>
      <c r="O20" s="9"/>
      <c r="P20" s="9"/>
      <c r="Q20" s="6"/>
      <c r="R20" s="6"/>
      <c r="S20" s="6"/>
      <c r="T20" s="6"/>
      <c r="U20" s="6"/>
      <c r="V20" s="6"/>
      <c r="W20" s="6"/>
      <c r="X20" s="6"/>
      <c r="Y20" s="6"/>
      <c r="Z20" s="6"/>
      <c r="AA20" s="4"/>
      <c r="AB20" s="43"/>
      <c r="AC20" s="6"/>
      <c r="AD20" s="4"/>
    </row>
    <row r="21" spans="1:30" x14ac:dyDescent="0.25">
      <c r="A21" s="458"/>
      <c r="B21" s="2" t="s">
        <v>17</v>
      </c>
      <c r="C21" s="255">
        <f t="shared" ref="C21:C25" si="9">SUM(J21:AD21)</f>
        <v>61</v>
      </c>
      <c r="D21" s="249">
        <f t="shared" si="5"/>
        <v>1</v>
      </c>
      <c r="E21" s="249">
        <f t="shared" si="6"/>
        <v>5</v>
      </c>
      <c r="F21" s="250">
        <f t="shared" si="7"/>
        <v>2.9047619047619047</v>
      </c>
      <c r="G21" s="249">
        <f t="shared" si="8"/>
        <v>3</v>
      </c>
      <c r="H21" s="263">
        <v>21</v>
      </c>
      <c r="I21" s="240"/>
      <c r="J21" s="43">
        <v>3</v>
      </c>
      <c r="K21" s="236">
        <v>3</v>
      </c>
      <c r="L21" s="4">
        <v>3</v>
      </c>
      <c r="M21" s="6">
        <v>3</v>
      </c>
      <c r="N21" s="9">
        <v>4</v>
      </c>
      <c r="O21" s="9">
        <v>4</v>
      </c>
      <c r="P21" s="9">
        <v>5</v>
      </c>
      <c r="Q21" s="6">
        <v>2</v>
      </c>
      <c r="R21" s="6">
        <v>2</v>
      </c>
      <c r="S21" s="6">
        <v>4</v>
      </c>
      <c r="T21" s="6">
        <v>2</v>
      </c>
      <c r="U21" s="6">
        <v>3</v>
      </c>
      <c r="V21" s="6">
        <v>3</v>
      </c>
      <c r="W21" s="6">
        <v>3</v>
      </c>
      <c r="X21" s="6">
        <v>3</v>
      </c>
      <c r="Y21" s="6">
        <v>3</v>
      </c>
      <c r="Z21" s="6">
        <v>4</v>
      </c>
      <c r="AA21" s="4">
        <v>3</v>
      </c>
      <c r="AB21" s="43">
        <v>2</v>
      </c>
      <c r="AC21" s="6">
        <v>1</v>
      </c>
      <c r="AD21" s="4">
        <v>1</v>
      </c>
    </row>
    <row r="22" spans="1:30" ht="15" customHeight="1" x14ac:dyDescent="0.25">
      <c r="A22" s="458"/>
      <c r="B22" s="2" t="s">
        <v>18</v>
      </c>
      <c r="C22" s="255">
        <f t="shared" si="9"/>
        <v>18</v>
      </c>
      <c r="D22" s="249">
        <f t="shared" si="5"/>
        <v>1</v>
      </c>
      <c r="E22" s="249">
        <f t="shared" si="6"/>
        <v>7</v>
      </c>
      <c r="F22" s="250">
        <f t="shared" si="7"/>
        <v>3</v>
      </c>
      <c r="G22" s="249">
        <f t="shared" si="8"/>
        <v>2</v>
      </c>
      <c r="H22" s="263">
        <v>6</v>
      </c>
      <c r="I22" s="240"/>
      <c r="J22" s="43">
        <v>4</v>
      </c>
      <c r="K22" s="236">
        <v>2</v>
      </c>
      <c r="L22" s="4">
        <v>7</v>
      </c>
      <c r="M22" s="6">
        <v>1</v>
      </c>
      <c r="N22" s="9">
        <v>2</v>
      </c>
      <c r="O22" s="9">
        <v>2</v>
      </c>
      <c r="P22" s="9"/>
      <c r="Q22" s="6"/>
      <c r="R22" s="6"/>
      <c r="S22" s="6"/>
      <c r="T22" s="6"/>
      <c r="U22" s="6"/>
      <c r="V22" s="6"/>
      <c r="W22" s="6"/>
      <c r="X22" s="6"/>
      <c r="Y22" s="6"/>
      <c r="Z22" s="6"/>
      <c r="AA22" s="4"/>
      <c r="AB22" s="43"/>
      <c r="AC22" s="6"/>
      <c r="AD22" s="4"/>
    </row>
    <row r="23" spans="1:30" x14ac:dyDescent="0.25">
      <c r="A23" s="458"/>
      <c r="B23" s="2" t="s">
        <v>19</v>
      </c>
      <c r="C23" s="255">
        <f t="shared" si="9"/>
        <v>24</v>
      </c>
      <c r="D23" s="249">
        <f t="shared" si="5"/>
        <v>2</v>
      </c>
      <c r="E23" s="249">
        <f t="shared" si="6"/>
        <v>3</v>
      </c>
      <c r="F23" s="250">
        <f t="shared" si="7"/>
        <v>2.4</v>
      </c>
      <c r="G23" s="249">
        <f t="shared" si="8"/>
        <v>2</v>
      </c>
      <c r="H23" s="263">
        <v>10</v>
      </c>
      <c r="I23" s="240"/>
      <c r="J23" s="43">
        <v>2</v>
      </c>
      <c r="K23" s="236">
        <v>2</v>
      </c>
      <c r="L23" s="4">
        <v>2</v>
      </c>
      <c r="M23" s="6">
        <v>2</v>
      </c>
      <c r="N23" s="9">
        <v>3</v>
      </c>
      <c r="O23" s="9">
        <v>2</v>
      </c>
      <c r="P23" s="9">
        <v>3</v>
      </c>
      <c r="Q23" s="6">
        <v>3</v>
      </c>
      <c r="R23" s="6">
        <v>2</v>
      </c>
      <c r="S23" s="6">
        <v>3</v>
      </c>
      <c r="T23" s="6"/>
      <c r="U23" s="6"/>
      <c r="V23" s="6"/>
      <c r="W23" s="6"/>
      <c r="X23" s="6"/>
      <c r="Y23" s="6"/>
      <c r="Z23" s="6"/>
      <c r="AA23" s="4"/>
      <c r="AB23" s="43"/>
      <c r="AC23" s="6"/>
      <c r="AD23" s="4"/>
    </row>
    <row r="24" spans="1:30" ht="15" customHeight="1" x14ac:dyDescent="0.25">
      <c r="A24" s="458"/>
      <c r="B24" s="2" t="s">
        <v>20</v>
      </c>
      <c r="C24" s="255">
        <f t="shared" si="9"/>
        <v>17</v>
      </c>
      <c r="D24" s="249">
        <f t="shared" si="5"/>
        <v>2</v>
      </c>
      <c r="E24" s="249">
        <f t="shared" si="6"/>
        <v>5</v>
      </c>
      <c r="F24" s="250">
        <f t="shared" si="7"/>
        <v>3.4</v>
      </c>
      <c r="G24" s="249">
        <f t="shared" si="8"/>
        <v>3</v>
      </c>
      <c r="H24" s="263">
        <v>5</v>
      </c>
      <c r="I24" s="240"/>
      <c r="J24" s="43">
        <v>4</v>
      </c>
      <c r="K24" s="236">
        <v>5</v>
      </c>
      <c r="L24" s="4">
        <v>3</v>
      </c>
      <c r="M24" s="6">
        <v>3</v>
      </c>
      <c r="N24" s="9">
        <v>2</v>
      </c>
      <c r="O24" s="9"/>
      <c r="P24" s="9"/>
      <c r="Q24" s="6"/>
      <c r="R24" s="6"/>
      <c r="S24" s="6"/>
      <c r="T24" s="6"/>
      <c r="U24" s="6"/>
      <c r="V24" s="6"/>
      <c r="W24" s="6"/>
      <c r="X24" s="6"/>
      <c r="Y24" s="6"/>
      <c r="Z24" s="6"/>
      <c r="AA24" s="4"/>
      <c r="AB24" s="43"/>
      <c r="AC24" s="6"/>
      <c r="AD24" s="4"/>
    </row>
    <row r="25" spans="1:30" x14ac:dyDescent="0.25">
      <c r="A25" s="458"/>
      <c r="B25" s="21" t="s">
        <v>21</v>
      </c>
      <c r="C25" s="255">
        <f t="shared" si="9"/>
        <v>8</v>
      </c>
      <c r="D25" s="249">
        <f t="shared" si="5"/>
        <v>2</v>
      </c>
      <c r="E25" s="249">
        <f t="shared" si="6"/>
        <v>6</v>
      </c>
      <c r="F25" s="250">
        <f t="shared" si="7"/>
        <v>4</v>
      </c>
      <c r="G25" s="249">
        <f t="shared" si="8"/>
        <v>4</v>
      </c>
      <c r="H25" s="263">
        <v>2</v>
      </c>
      <c r="I25" s="240"/>
      <c r="J25" s="43">
        <v>2</v>
      </c>
      <c r="K25" s="236">
        <v>6</v>
      </c>
      <c r="L25" s="4"/>
      <c r="M25" s="6"/>
      <c r="N25" s="9"/>
      <c r="O25" s="9"/>
      <c r="P25" s="9"/>
      <c r="Q25" s="6"/>
      <c r="R25" s="6"/>
      <c r="S25" s="6"/>
      <c r="T25" s="6"/>
      <c r="U25" s="6"/>
      <c r="V25" s="6"/>
      <c r="W25" s="6"/>
      <c r="X25" s="6"/>
      <c r="Y25" s="6"/>
      <c r="Z25" s="6"/>
      <c r="AA25" s="4"/>
      <c r="AB25" s="43"/>
      <c r="AC25" s="6"/>
      <c r="AD25" s="4"/>
    </row>
    <row r="26" spans="1:30" ht="15" customHeight="1" x14ac:dyDescent="0.25">
      <c r="A26" s="457" t="s">
        <v>22</v>
      </c>
      <c r="B26" s="1" t="s">
        <v>23</v>
      </c>
      <c r="C26" s="256"/>
      <c r="D26" s="38"/>
      <c r="E26" s="38"/>
      <c r="F26" s="41"/>
      <c r="G26" s="38"/>
      <c r="H26" s="266"/>
      <c r="I26" s="268"/>
      <c r="J26" s="37"/>
      <c r="K26" s="235"/>
      <c r="L26" s="34"/>
      <c r="M26" s="5"/>
      <c r="N26" s="10"/>
      <c r="O26" s="10"/>
      <c r="P26" s="10"/>
      <c r="Q26" s="5"/>
      <c r="R26" s="5"/>
      <c r="S26" s="5"/>
      <c r="T26" s="5"/>
      <c r="U26" s="5"/>
      <c r="V26" s="5"/>
      <c r="W26" s="5"/>
      <c r="X26" s="5"/>
      <c r="Y26" s="5"/>
      <c r="Z26" s="5"/>
      <c r="AA26" s="34"/>
      <c r="AB26" s="37"/>
      <c r="AC26" s="5"/>
      <c r="AD26" s="34"/>
    </row>
    <row r="27" spans="1:30" x14ac:dyDescent="0.25">
      <c r="A27" s="458"/>
      <c r="B27" s="339" t="s">
        <v>24</v>
      </c>
      <c r="C27" s="329">
        <f>SUM(J27:AD27)</f>
        <v>18</v>
      </c>
      <c r="D27" s="330">
        <f>MIN(J27:AD27)</f>
        <v>18</v>
      </c>
      <c r="E27" s="330">
        <f>MAX(J27:AD27)</f>
        <v>18</v>
      </c>
      <c r="F27" s="331">
        <f>AVERAGE(J27:AD27)</f>
        <v>18</v>
      </c>
      <c r="G27" s="330">
        <f>MEDIAN(J27:AD27)</f>
        <v>18</v>
      </c>
      <c r="H27" s="332">
        <v>1</v>
      </c>
      <c r="I27" s="333"/>
      <c r="J27" s="334">
        <v>18</v>
      </c>
      <c r="K27" s="335"/>
      <c r="L27" s="336"/>
      <c r="M27" s="337"/>
      <c r="N27" s="338"/>
      <c r="O27" s="338"/>
      <c r="P27" s="338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6"/>
      <c r="AB27" s="334"/>
      <c r="AC27" s="337"/>
      <c r="AD27" s="336"/>
    </row>
    <row r="28" spans="1:30" x14ac:dyDescent="0.25">
      <c r="A28" s="458"/>
      <c r="B28" s="328" t="s">
        <v>25</v>
      </c>
      <c r="C28" s="329">
        <f t="shared" ref="C28:C31" si="10">SUM(J28:AD28)</f>
        <v>33</v>
      </c>
      <c r="D28" s="330">
        <f>MIN(J28:AD28)</f>
        <v>33</v>
      </c>
      <c r="E28" s="330">
        <f>MAX(J28:AD28)</f>
        <v>33</v>
      </c>
      <c r="F28" s="331">
        <f>AVERAGE(J28:AD28)</f>
        <v>33</v>
      </c>
      <c r="G28" s="330">
        <f>MEDIAN(J28:AD28)</f>
        <v>33</v>
      </c>
      <c r="H28" s="332">
        <v>1</v>
      </c>
      <c r="I28" s="333"/>
      <c r="J28" s="334">
        <v>33</v>
      </c>
      <c r="K28" s="335"/>
      <c r="L28" s="336"/>
      <c r="M28" s="337"/>
      <c r="N28" s="338"/>
      <c r="O28" s="338"/>
      <c r="P28" s="338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6"/>
      <c r="AB28" s="334"/>
      <c r="AC28" s="337"/>
      <c r="AD28" s="336"/>
    </row>
    <row r="29" spans="1:30" x14ac:dyDescent="0.25">
      <c r="A29" s="458"/>
      <c r="B29" s="2" t="s">
        <v>26</v>
      </c>
      <c r="C29" s="257">
        <f t="shared" si="10"/>
        <v>51</v>
      </c>
      <c r="D29" s="249">
        <f>MIN(J29:AD29)</f>
        <v>2</v>
      </c>
      <c r="E29" s="249">
        <f>MAX(J29:AD29)</f>
        <v>17</v>
      </c>
      <c r="F29" s="250">
        <f>AVERAGE(J29:AD29)</f>
        <v>7.2857142857142856</v>
      </c>
      <c r="G29" s="249">
        <f>MEDIAN(J29:AD29)</f>
        <v>3</v>
      </c>
      <c r="H29" s="263">
        <v>7</v>
      </c>
      <c r="I29" s="240"/>
      <c r="J29" s="43">
        <v>12</v>
      </c>
      <c r="K29" s="237">
        <v>13</v>
      </c>
      <c r="L29" s="46">
        <v>17</v>
      </c>
      <c r="M29" s="9">
        <v>2</v>
      </c>
      <c r="N29" s="6">
        <v>2</v>
      </c>
      <c r="O29" s="6">
        <v>2</v>
      </c>
      <c r="P29" s="6">
        <v>3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4"/>
      <c r="AB29" s="43"/>
      <c r="AC29" s="6"/>
      <c r="AD29" s="4"/>
    </row>
    <row r="30" spans="1:30" x14ac:dyDescent="0.25">
      <c r="A30" s="458"/>
      <c r="B30" s="2" t="s">
        <v>27</v>
      </c>
      <c r="C30" s="257">
        <f t="shared" si="10"/>
        <v>46</v>
      </c>
      <c r="D30" s="249">
        <f>MIN(J30:AD30)</f>
        <v>2</v>
      </c>
      <c r="E30" s="249">
        <f>MAX(J30:AD30)</f>
        <v>13</v>
      </c>
      <c r="F30" s="250">
        <f>AVERAGE(J30:AD30)</f>
        <v>9.1999999999999993</v>
      </c>
      <c r="G30" s="249">
        <f>MEDIAN(J30:AD30)</f>
        <v>9</v>
      </c>
      <c r="H30" s="263">
        <v>5</v>
      </c>
      <c r="I30" s="240"/>
      <c r="J30" s="43">
        <v>13</v>
      </c>
      <c r="K30" s="236">
        <v>13</v>
      </c>
      <c r="L30" s="4">
        <v>2</v>
      </c>
      <c r="M30" s="6">
        <v>9</v>
      </c>
      <c r="N30" s="9">
        <v>9</v>
      </c>
      <c r="O30" s="9"/>
      <c r="P30" s="9"/>
      <c r="Q30" s="6"/>
      <c r="R30" s="6"/>
      <c r="S30" s="6"/>
      <c r="T30" s="6"/>
      <c r="U30" s="6"/>
      <c r="V30" s="6"/>
      <c r="W30" s="6"/>
      <c r="X30" s="6"/>
      <c r="Y30" s="6"/>
      <c r="Z30" s="6"/>
      <c r="AA30" s="4"/>
      <c r="AB30" s="43"/>
      <c r="AC30" s="6"/>
      <c r="AD30" s="4"/>
    </row>
    <row r="31" spans="1:30" ht="15.75" customHeight="1" x14ac:dyDescent="0.25">
      <c r="A31" s="458"/>
      <c r="B31" s="21" t="s">
        <v>28</v>
      </c>
      <c r="C31" s="257">
        <f t="shared" si="10"/>
        <v>19</v>
      </c>
      <c r="D31" s="249">
        <f>MIN(J31:AD31)</f>
        <v>2</v>
      </c>
      <c r="E31" s="249">
        <f>MAX(J31:AD31)</f>
        <v>5</v>
      </c>
      <c r="F31" s="250">
        <f>AVERAGE(J31:AD31)</f>
        <v>3.1666666666666665</v>
      </c>
      <c r="G31" s="249">
        <f>MEDIAN(J31:AD31)</f>
        <v>3</v>
      </c>
      <c r="H31" s="263">
        <v>6</v>
      </c>
      <c r="I31" s="240"/>
      <c r="J31" s="43">
        <v>3</v>
      </c>
      <c r="K31" s="236">
        <v>3</v>
      </c>
      <c r="L31" s="4">
        <v>2</v>
      </c>
      <c r="M31" s="6">
        <v>2</v>
      </c>
      <c r="N31" s="9">
        <v>4</v>
      </c>
      <c r="O31" s="9">
        <v>5</v>
      </c>
      <c r="P31" s="9"/>
      <c r="Q31" s="6"/>
      <c r="R31" s="6"/>
      <c r="S31" s="6"/>
      <c r="T31" s="6"/>
      <c r="U31" s="6"/>
      <c r="V31" s="6"/>
      <c r="W31" s="6"/>
      <c r="X31" s="6"/>
      <c r="Y31" s="6"/>
      <c r="Z31" s="6"/>
      <c r="AA31" s="4"/>
      <c r="AB31" s="43"/>
      <c r="AC31" s="6"/>
      <c r="AD31" s="4"/>
    </row>
    <row r="32" spans="1:30" ht="15" customHeight="1" x14ac:dyDescent="0.25">
      <c r="A32" s="457" t="s">
        <v>29</v>
      </c>
      <c r="B32" s="1" t="s">
        <v>29</v>
      </c>
      <c r="C32" s="256"/>
      <c r="D32" s="38"/>
      <c r="E32" s="38"/>
      <c r="F32" s="41"/>
      <c r="G32" s="38"/>
      <c r="H32" s="266"/>
      <c r="I32" s="268"/>
      <c r="J32" s="37"/>
      <c r="K32" s="235"/>
      <c r="L32" s="34"/>
      <c r="M32" s="5"/>
      <c r="N32" s="10"/>
      <c r="O32" s="10"/>
      <c r="P32" s="10"/>
      <c r="Q32" s="5"/>
      <c r="R32" s="5"/>
      <c r="S32" s="5"/>
      <c r="T32" s="5"/>
      <c r="U32" s="5"/>
      <c r="V32" s="5"/>
      <c r="W32" s="5"/>
      <c r="X32" s="5"/>
      <c r="Y32" s="5"/>
      <c r="Z32" s="5"/>
      <c r="AA32" s="34"/>
      <c r="AB32" s="37"/>
      <c r="AC32" s="5"/>
      <c r="AD32" s="34"/>
    </row>
    <row r="33" spans="1:30" x14ac:dyDescent="0.25">
      <c r="A33" s="458"/>
      <c r="B33" s="40" t="s">
        <v>30</v>
      </c>
      <c r="C33" s="255">
        <f>SUM(J33:AD33)</f>
        <v>70</v>
      </c>
      <c r="D33" s="249">
        <f t="shared" ref="D33:D59" si="11">MIN(J33:AD33)</f>
        <v>2</v>
      </c>
      <c r="E33" s="249">
        <f t="shared" ref="E33:E59" si="12">MAX(J33:AD33)</f>
        <v>6</v>
      </c>
      <c r="F33" s="250">
        <f t="shared" ref="F33:F59" si="13">AVERAGE(J33:AD33)</f>
        <v>3.8888888888888888</v>
      </c>
      <c r="G33" s="249">
        <f t="shared" ref="G33:G59" si="14">MEDIAN(J33:AD33)</f>
        <v>4</v>
      </c>
      <c r="H33" s="263">
        <v>18</v>
      </c>
      <c r="I33" s="240"/>
      <c r="J33" s="6">
        <v>6</v>
      </c>
      <c r="K33" s="236">
        <v>4</v>
      </c>
      <c r="L33" s="4">
        <v>3</v>
      </c>
      <c r="M33" s="9">
        <v>4</v>
      </c>
      <c r="N33" s="9">
        <v>4</v>
      </c>
      <c r="O33" s="9">
        <v>5</v>
      </c>
      <c r="P33" s="6">
        <v>4</v>
      </c>
      <c r="Q33" s="6">
        <v>3</v>
      </c>
      <c r="R33" s="6">
        <v>3</v>
      </c>
      <c r="S33" s="6">
        <v>5</v>
      </c>
      <c r="T33" s="6">
        <v>4</v>
      </c>
      <c r="U33" s="6">
        <v>3</v>
      </c>
      <c r="V33" s="6">
        <v>2</v>
      </c>
      <c r="W33" s="6">
        <v>2</v>
      </c>
      <c r="X33" s="6">
        <v>5</v>
      </c>
      <c r="Y33" s="6">
        <v>5</v>
      </c>
      <c r="Z33" s="6">
        <v>3</v>
      </c>
      <c r="AA33" s="4">
        <v>5</v>
      </c>
      <c r="AC33" s="6"/>
      <c r="AD33" s="4"/>
    </row>
    <row r="34" spans="1:30" x14ac:dyDescent="0.25">
      <c r="A34" s="458"/>
      <c r="B34" s="2" t="s">
        <v>31</v>
      </c>
      <c r="C34" s="255">
        <f t="shared" ref="C34:C59" si="15">SUM(J34:AD34)</f>
        <v>8</v>
      </c>
      <c r="D34" s="249">
        <f t="shared" si="11"/>
        <v>3</v>
      </c>
      <c r="E34" s="249">
        <f t="shared" si="12"/>
        <v>5</v>
      </c>
      <c r="F34" s="250">
        <f t="shared" si="13"/>
        <v>4</v>
      </c>
      <c r="G34" s="249">
        <f t="shared" si="14"/>
        <v>4</v>
      </c>
      <c r="H34" s="263">
        <v>2</v>
      </c>
      <c r="I34" s="240"/>
      <c r="J34" s="43">
        <v>3</v>
      </c>
      <c r="K34" s="236">
        <v>5</v>
      </c>
      <c r="L34" s="4"/>
      <c r="M34" s="6"/>
      <c r="N34" s="9"/>
      <c r="O34" s="9"/>
      <c r="P34" s="9"/>
      <c r="Q34" s="6"/>
      <c r="R34" s="6"/>
      <c r="S34" s="6"/>
      <c r="T34" s="6"/>
      <c r="U34" s="6"/>
      <c r="V34" s="6"/>
      <c r="W34" s="6"/>
      <c r="X34" s="6"/>
      <c r="Y34" s="6"/>
      <c r="Z34" s="6"/>
      <c r="AA34" s="4"/>
      <c r="AB34" s="43"/>
      <c r="AC34" s="6"/>
      <c r="AD34" s="4"/>
    </row>
    <row r="35" spans="1:30" x14ac:dyDescent="0.25">
      <c r="A35" s="458"/>
      <c r="B35" s="2" t="s">
        <v>32</v>
      </c>
      <c r="C35" s="255">
        <f t="shared" si="15"/>
        <v>6</v>
      </c>
      <c r="D35" s="249">
        <f t="shared" si="11"/>
        <v>2</v>
      </c>
      <c r="E35" s="249">
        <f t="shared" si="12"/>
        <v>4</v>
      </c>
      <c r="F35" s="250">
        <f t="shared" si="13"/>
        <v>3</v>
      </c>
      <c r="G35" s="249">
        <f t="shared" si="14"/>
        <v>3</v>
      </c>
      <c r="H35" s="263">
        <v>2</v>
      </c>
      <c r="I35" s="240"/>
      <c r="J35" s="43">
        <v>2</v>
      </c>
      <c r="K35" s="236">
        <v>4</v>
      </c>
      <c r="L35" s="4"/>
      <c r="M35" s="6"/>
      <c r="N35" s="9"/>
      <c r="O35" s="9"/>
      <c r="P35" s="9"/>
      <c r="Q35" s="6"/>
      <c r="R35" s="6"/>
      <c r="S35" s="6"/>
      <c r="T35" s="6"/>
      <c r="U35" s="6"/>
      <c r="V35" s="6"/>
      <c r="W35" s="6"/>
      <c r="X35" s="6"/>
      <c r="Y35" s="6"/>
      <c r="Z35" s="6"/>
      <c r="AA35" s="4"/>
      <c r="AB35" s="43"/>
      <c r="AC35" s="6"/>
      <c r="AD35" s="4"/>
    </row>
    <row r="36" spans="1:30" x14ac:dyDescent="0.25">
      <c r="A36" s="458"/>
      <c r="B36" s="2" t="s">
        <v>33</v>
      </c>
      <c r="C36" s="255">
        <f t="shared" si="15"/>
        <v>123</v>
      </c>
      <c r="D36" s="249">
        <f t="shared" si="11"/>
        <v>3</v>
      </c>
      <c r="E36" s="249">
        <f t="shared" si="12"/>
        <v>11</v>
      </c>
      <c r="F36" s="250">
        <f t="shared" si="13"/>
        <v>5.8571428571428568</v>
      </c>
      <c r="G36" s="249">
        <f t="shared" si="14"/>
        <v>6</v>
      </c>
      <c r="H36" s="263">
        <v>20</v>
      </c>
      <c r="I36" s="240"/>
      <c r="J36" s="43">
        <v>11</v>
      </c>
      <c r="K36" s="236">
        <v>9</v>
      </c>
      <c r="L36" s="4">
        <v>5</v>
      </c>
      <c r="M36" s="6">
        <v>6</v>
      </c>
      <c r="N36" s="9">
        <v>7</v>
      </c>
      <c r="O36" s="9">
        <v>6</v>
      </c>
      <c r="P36" s="9">
        <v>6</v>
      </c>
      <c r="Q36" s="6">
        <v>4</v>
      </c>
      <c r="R36" s="6">
        <v>3</v>
      </c>
      <c r="S36" s="6">
        <v>3</v>
      </c>
      <c r="T36" s="6">
        <v>5</v>
      </c>
      <c r="U36" s="6">
        <v>4</v>
      </c>
      <c r="V36" s="6">
        <v>6</v>
      </c>
      <c r="W36" s="6">
        <v>5</v>
      </c>
      <c r="X36" s="6">
        <v>5</v>
      </c>
      <c r="Y36" s="6">
        <v>7</v>
      </c>
      <c r="Z36" s="6">
        <v>8</v>
      </c>
      <c r="AA36" s="4">
        <v>6</v>
      </c>
      <c r="AB36" s="43">
        <v>5</v>
      </c>
      <c r="AC36" s="6">
        <v>6</v>
      </c>
      <c r="AD36" s="4">
        <v>6</v>
      </c>
    </row>
    <row r="37" spans="1:30" x14ac:dyDescent="0.25">
      <c r="A37" s="458"/>
      <c r="B37" s="2" t="s">
        <v>34</v>
      </c>
      <c r="C37" s="255">
        <f t="shared" si="15"/>
        <v>5</v>
      </c>
      <c r="D37" s="249">
        <f t="shared" si="11"/>
        <v>1</v>
      </c>
      <c r="E37" s="249">
        <f t="shared" si="12"/>
        <v>2</v>
      </c>
      <c r="F37" s="250">
        <f t="shared" si="13"/>
        <v>1.6666666666666667</v>
      </c>
      <c r="G37" s="249">
        <f t="shared" si="14"/>
        <v>2</v>
      </c>
      <c r="H37" s="263">
        <v>3</v>
      </c>
      <c r="I37" s="240"/>
      <c r="J37" s="43">
        <v>2</v>
      </c>
      <c r="K37" s="236">
        <v>2</v>
      </c>
      <c r="L37" s="4">
        <v>1</v>
      </c>
      <c r="M37" s="6"/>
      <c r="N37" s="9"/>
      <c r="O37" s="9"/>
      <c r="P37" s="9"/>
      <c r="Q37" s="6"/>
      <c r="R37" s="6"/>
      <c r="S37" s="6"/>
      <c r="T37" s="6"/>
      <c r="U37" s="6"/>
      <c r="V37" s="6"/>
      <c r="W37" s="6"/>
      <c r="X37" s="6"/>
      <c r="Y37" s="6"/>
      <c r="Z37" s="6"/>
      <c r="AA37" s="4"/>
      <c r="AB37" s="43"/>
      <c r="AC37" s="6"/>
      <c r="AD37" s="4"/>
    </row>
    <row r="38" spans="1:30" x14ac:dyDescent="0.25">
      <c r="A38" s="458"/>
      <c r="B38" s="2" t="s">
        <v>35</v>
      </c>
      <c r="C38" s="255">
        <f t="shared" si="15"/>
        <v>12</v>
      </c>
      <c r="D38" s="249">
        <f t="shared" si="11"/>
        <v>12</v>
      </c>
      <c r="E38" s="249">
        <f t="shared" si="12"/>
        <v>12</v>
      </c>
      <c r="F38" s="250">
        <f t="shared" si="13"/>
        <v>12</v>
      </c>
      <c r="G38" s="249">
        <f t="shared" si="14"/>
        <v>12</v>
      </c>
      <c r="H38" s="263">
        <v>1</v>
      </c>
      <c r="I38" s="240"/>
      <c r="J38" s="43">
        <v>12</v>
      </c>
      <c r="K38" s="236"/>
      <c r="L38" s="4"/>
      <c r="M38" s="6"/>
      <c r="N38" s="9"/>
      <c r="O38" s="9"/>
      <c r="P38" s="9"/>
      <c r="Q38" s="6"/>
      <c r="R38" s="6"/>
      <c r="S38" s="6"/>
      <c r="T38" s="6"/>
      <c r="U38" s="6"/>
      <c r="V38" s="6"/>
      <c r="W38" s="6"/>
      <c r="X38" s="6"/>
      <c r="Y38" s="6"/>
      <c r="Z38" s="6"/>
      <c r="AA38" s="4"/>
      <c r="AB38" s="43"/>
      <c r="AC38" s="6"/>
      <c r="AD38" s="4"/>
    </row>
    <row r="39" spans="1:30" x14ac:dyDescent="0.25">
      <c r="A39" s="458"/>
      <c r="B39" s="2" t="s">
        <v>36</v>
      </c>
      <c r="C39" s="255">
        <f t="shared" si="15"/>
        <v>19</v>
      </c>
      <c r="D39" s="249">
        <f t="shared" si="11"/>
        <v>2</v>
      </c>
      <c r="E39" s="249">
        <f t="shared" si="12"/>
        <v>5</v>
      </c>
      <c r="F39" s="250">
        <f t="shared" si="13"/>
        <v>2.7142857142857144</v>
      </c>
      <c r="G39" s="249">
        <f t="shared" si="14"/>
        <v>2</v>
      </c>
      <c r="H39" s="263">
        <v>7</v>
      </c>
      <c r="I39" s="240"/>
      <c r="J39" s="43">
        <v>2</v>
      </c>
      <c r="K39" s="236">
        <v>3</v>
      </c>
      <c r="L39" s="4">
        <v>5</v>
      </c>
      <c r="M39" s="6">
        <v>3</v>
      </c>
      <c r="N39" s="9">
        <v>2</v>
      </c>
      <c r="O39" s="9">
        <v>2</v>
      </c>
      <c r="P39" s="9">
        <v>2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4"/>
      <c r="AB39" s="43"/>
      <c r="AC39" s="6"/>
      <c r="AD39" s="4"/>
    </row>
    <row r="40" spans="1:30" ht="15" customHeight="1" x14ac:dyDescent="0.25">
      <c r="A40" s="458"/>
      <c r="B40" s="2" t="s">
        <v>37</v>
      </c>
      <c r="C40" s="255">
        <f t="shared" si="15"/>
        <v>11</v>
      </c>
      <c r="D40" s="249">
        <f t="shared" si="11"/>
        <v>4</v>
      </c>
      <c r="E40" s="249">
        <f t="shared" si="12"/>
        <v>7</v>
      </c>
      <c r="F40" s="250">
        <f t="shared" si="13"/>
        <v>5.5</v>
      </c>
      <c r="G40" s="249">
        <f t="shared" si="14"/>
        <v>5.5</v>
      </c>
      <c r="H40" s="263">
        <v>2</v>
      </c>
      <c r="I40" s="240"/>
      <c r="J40" s="6">
        <v>7</v>
      </c>
      <c r="K40" s="236">
        <v>4</v>
      </c>
      <c r="L40" s="240"/>
      <c r="M40" s="6"/>
      <c r="N40" s="9"/>
      <c r="O40" s="9"/>
      <c r="P40" s="9"/>
      <c r="Q40" s="6"/>
      <c r="R40" s="6"/>
      <c r="S40" s="6"/>
      <c r="T40" s="6"/>
      <c r="U40" s="6"/>
      <c r="V40" s="6"/>
      <c r="W40" s="6"/>
      <c r="X40" s="6"/>
      <c r="Y40" s="6"/>
      <c r="Z40" s="6"/>
      <c r="AA40" s="4"/>
      <c r="AB40" s="43"/>
      <c r="AC40" s="6"/>
      <c r="AD40" s="4"/>
    </row>
    <row r="41" spans="1:30" ht="15" customHeight="1" x14ac:dyDescent="0.25">
      <c r="A41" s="458"/>
      <c r="B41" s="2" t="s">
        <v>38</v>
      </c>
      <c r="C41" s="255">
        <f t="shared" si="15"/>
        <v>13</v>
      </c>
      <c r="D41" s="249">
        <f t="shared" si="11"/>
        <v>13</v>
      </c>
      <c r="E41" s="249">
        <f t="shared" si="12"/>
        <v>13</v>
      </c>
      <c r="F41" s="250">
        <f t="shared" si="13"/>
        <v>13</v>
      </c>
      <c r="G41" s="249">
        <f t="shared" si="14"/>
        <v>13</v>
      </c>
      <c r="H41" s="263">
        <v>1</v>
      </c>
      <c r="I41" s="240"/>
      <c r="J41" s="43">
        <v>13</v>
      </c>
      <c r="K41" s="236"/>
      <c r="L41" s="4"/>
      <c r="M41" s="6"/>
      <c r="N41" s="9"/>
      <c r="O41" s="9"/>
      <c r="P41" s="9"/>
      <c r="Q41" s="6"/>
      <c r="R41" s="6"/>
      <c r="S41" s="6"/>
      <c r="T41" s="6"/>
      <c r="U41" s="6"/>
      <c r="V41" s="6"/>
      <c r="W41" s="6"/>
      <c r="X41" s="6"/>
      <c r="Y41" s="6"/>
      <c r="Z41" s="6"/>
      <c r="AA41" s="4"/>
      <c r="AB41" s="43"/>
      <c r="AC41" s="6"/>
      <c r="AD41" s="4"/>
    </row>
    <row r="42" spans="1:30" x14ac:dyDescent="0.25">
      <c r="A42" s="458"/>
      <c r="B42" s="2" t="s">
        <v>39</v>
      </c>
      <c r="C42" s="255">
        <f t="shared" si="15"/>
        <v>70</v>
      </c>
      <c r="D42" s="249">
        <f t="shared" si="11"/>
        <v>2</v>
      </c>
      <c r="E42" s="249">
        <f t="shared" si="12"/>
        <v>11</v>
      </c>
      <c r="F42" s="250">
        <f t="shared" si="13"/>
        <v>6.3636363636363633</v>
      </c>
      <c r="G42" s="249">
        <f t="shared" si="14"/>
        <v>7</v>
      </c>
      <c r="H42" s="263">
        <v>11</v>
      </c>
      <c r="I42" s="240"/>
      <c r="J42" s="43">
        <v>9</v>
      </c>
      <c r="K42" s="236">
        <v>2</v>
      </c>
      <c r="L42" s="4">
        <v>3</v>
      </c>
      <c r="M42" s="6">
        <v>6</v>
      </c>
      <c r="N42" s="9">
        <v>11</v>
      </c>
      <c r="O42" s="9">
        <v>11</v>
      </c>
      <c r="P42" s="9">
        <v>7</v>
      </c>
      <c r="Q42" s="6">
        <v>8</v>
      </c>
      <c r="R42" s="6">
        <v>7</v>
      </c>
      <c r="S42" s="6">
        <v>2</v>
      </c>
      <c r="T42" s="6">
        <v>4</v>
      </c>
      <c r="U42" s="6"/>
      <c r="V42" s="6"/>
      <c r="W42" s="6"/>
      <c r="X42" s="6"/>
      <c r="Y42" s="6"/>
      <c r="Z42" s="6"/>
      <c r="AA42" s="4"/>
      <c r="AB42" s="43"/>
      <c r="AC42" s="6"/>
      <c r="AD42" s="4"/>
    </row>
    <row r="43" spans="1:30" x14ac:dyDescent="0.25">
      <c r="A43" s="458"/>
      <c r="B43" s="328" t="s">
        <v>40</v>
      </c>
      <c r="C43" s="329">
        <f t="shared" si="15"/>
        <v>74</v>
      </c>
      <c r="D43" s="330">
        <f t="shared" si="11"/>
        <v>20</v>
      </c>
      <c r="E43" s="330">
        <f t="shared" si="12"/>
        <v>30</v>
      </c>
      <c r="F43" s="331">
        <f t="shared" si="13"/>
        <v>24.666666666666668</v>
      </c>
      <c r="G43" s="330">
        <f t="shared" si="14"/>
        <v>24</v>
      </c>
      <c r="H43" s="332">
        <v>3</v>
      </c>
      <c r="I43" s="333"/>
      <c r="J43" s="334">
        <v>20</v>
      </c>
      <c r="K43" s="335">
        <v>24</v>
      </c>
      <c r="L43" s="336">
        <v>30</v>
      </c>
      <c r="M43" s="337"/>
      <c r="N43" s="338"/>
      <c r="O43" s="338"/>
      <c r="P43" s="338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6"/>
      <c r="AB43" s="334"/>
      <c r="AC43" s="337"/>
      <c r="AD43" s="336"/>
    </row>
    <row r="44" spans="1:30" x14ac:dyDescent="0.25">
      <c r="A44" s="458"/>
      <c r="B44" s="2" t="s">
        <v>41</v>
      </c>
      <c r="C44" s="255">
        <f t="shared" si="15"/>
        <v>18</v>
      </c>
      <c r="D44" s="249">
        <f t="shared" si="11"/>
        <v>1</v>
      </c>
      <c r="E44" s="249">
        <f t="shared" si="12"/>
        <v>4</v>
      </c>
      <c r="F44" s="250">
        <f t="shared" si="13"/>
        <v>2.5714285714285716</v>
      </c>
      <c r="G44" s="249">
        <f t="shared" si="14"/>
        <v>2</v>
      </c>
      <c r="H44" s="263">
        <v>7</v>
      </c>
      <c r="I44" s="240"/>
      <c r="J44" s="43">
        <v>4</v>
      </c>
      <c r="K44" s="236">
        <v>4</v>
      </c>
      <c r="L44" s="4">
        <v>2</v>
      </c>
      <c r="M44" s="6">
        <v>2</v>
      </c>
      <c r="N44" s="9">
        <v>2</v>
      </c>
      <c r="O44" s="9">
        <v>1</v>
      </c>
      <c r="P44" s="9">
        <v>3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4"/>
      <c r="AB44" s="43"/>
      <c r="AC44" s="6"/>
      <c r="AD44" s="4"/>
    </row>
    <row r="45" spans="1:30" x14ac:dyDescent="0.25">
      <c r="A45" s="458"/>
      <c r="B45" s="2" t="s">
        <v>42</v>
      </c>
      <c r="C45" s="255">
        <f t="shared" si="15"/>
        <v>32</v>
      </c>
      <c r="D45" s="249">
        <f t="shared" si="11"/>
        <v>2</v>
      </c>
      <c r="E45" s="249">
        <f t="shared" si="12"/>
        <v>7</v>
      </c>
      <c r="F45" s="250">
        <f t="shared" si="13"/>
        <v>3.2</v>
      </c>
      <c r="G45" s="249">
        <f t="shared" si="14"/>
        <v>3</v>
      </c>
      <c r="H45" s="263">
        <v>10</v>
      </c>
      <c r="I45" s="240"/>
      <c r="J45" s="43">
        <v>2</v>
      </c>
      <c r="K45" s="236">
        <v>3</v>
      </c>
      <c r="L45" s="4">
        <v>2</v>
      </c>
      <c r="M45" s="6">
        <v>2</v>
      </c>
      <c r="N45" s="9">
        <v>3</v>
      </c>
      <c r="O45" s="9">
        <v>3</v>
      </c>
      <c r="P45" s="9">
        <v>2</v>
      </c>
      <c r="Q45" s="6">
        <v>5</v>
      </c>
      <c r="R45" s="6">
        <v>7</v>
      </c>
      <c r="S45" s="6">
        <v>3</v>
      </c>
      <c r="T45" s="6"/>
      <c r="U45" s="6"/>
      <c r="V45" s="6"/>
      <c r="W45" s="6"/>
      <c r="X45" s="6"/>
      <c r="Y45" s="6"/>
      <c r="Z45" s="6"/>
      <c r="AA45" s="4"/>
      <c r="AB45" s="43"/>
      <c r="AC45" s="6"/>
      <c r="AD45" s="4"/>
    </row>
    <row r="46" spans="1:30" x14ac:dyDescent="0.25">
      <c r="A46" s="458"/>
      <c r="B46" s="2" t="s">
        <v>43</v>
      </c>
      <c r="C46" s="255">
        <f t="shared" si="15"/>
        <v>7</v>
      </c>
      <c r="D46" s="249">
        <f t="shared" si="11"/>
        <v>3</v>
      </c>
      <c r="E46" s="249">
        <f t="shared" si="12"/>
        <v>4</v>
      </c>
      <c r="F46" s="250">
        <f t="shared" si="13"/>
        <v>3.5</v>
      </c>
      <c r="G46" s="249">
        <f t="shared" si="14"/>
        <v>3.5</v>
      </c>
      <c r="H46" s="263">
        <v>2</v>
      </c>
      <c r="I46" s="240"/>
      <c r="J46" s="43">
        <v>4</v>
      </c>
      <c r="K46" s="236">
        <v>3</v>
      </c>
      <c r="L46" s="4"/>
      <c r="M46" s="6"/>
      <c r="N46" s="9"/>
      <c r="O46" s="9"/>
      <c r="P46" s="9"/>
      <c r="Q46" s="6"/>
      <c r="R46" s="6"/>
      <c r="S46" s="6"/>
      <c r="T46" s="6"/>
      <c r="U46" s="6"/>
      <c r="V46" s="6"/>
      <c r="W46" s="6"/>
      <c r="X46" s="6"/>
      <c r="Y46" s="6"/>
      <c r="Z46" s="6"/>
      <c r="AA46" s="4"/>
      <c r="AB46" s="43"/>
      <c r="AC46" s="6"/>
      <c r="AD46" s="4"/>
    </row>
    <row r="47" spans="1:30" x14ac:dyDescent="0.25">
      <c r="A47" s="458"/>
      <c r="B47" s="2" t="s">
        <v>44</v>
      </c>
      <c r="C47" s="255">
        <f t="shared" si="15"/>
        <v>12</v>
      </c>
      <c r="D47" s="249">
        <f t="shared" si="11"/>
        <v>6</v>
      </c>
      <c r="E47" s="249">
        <f t="shared" si="12"/>
        <v>6</v>
      </c>
      <c r="F47" s="250">
        <f t="shared" si="13"/>
        <v>6</v>
      </c>
      <c r="G47" s="249">
        <f t="shared" si="14"/>
        <v>6</v>
      </c>
      <c r="H47" s="263">
        <v>2</v>
      </c>
      <c r="I47" s="240"/>
      <c r="J47" s="43">
        <v>6</v>
      </c>
      <c r="K47" s="236">
        <v>6</v>
      </c>
      <c r="L47" s="4"/>
      <c r="M47" s="6"/>
      <c r="N47" s="9"/>
      <c r="O47" s="9"/>
      <c r="P47" s="9"/>
      <c r="Q47" s="6"/>
      <c r="R47" s="6"/>
      <c r="S47" s="6"/>
      <c r="T47" s="6"/>
      <c r="U47" s="6"/>
      <c r="V47" s="6"/>
      <c r="W47" s="6"/>
      <c r="X47" s="6"/>
      <c r="Y47" s="6"/>
      <c r="Z47" s="6"/>
      <c r="AA47" s="4"/>
      <c r="AB47" s="43"/>
      <c r="AC47" s="6"/>
      <c r="AD47" s="4"/>
    </row>
    <row r="48" spans="1:30" x14ac:dyDescent="0.25">
      <c r="A48" s="458"/>
      <c r="B48" s="328" t="s">
        <v>45</v>
      </c>
      <c r="C48" s="329">
        <f t="shared" si="15"/>
        <v>40</v>
      </c>
      <c r="D48" s="330">
        <f t="shared" si="11"/>
        <v>20</v>
      </c>
      <c r="E48" s="330">
        <f t="shared" si="12"/>
        <v>20</v>
      </c>
      <c r="F48" s="331">
        <f t="shared" si="13"/>
        <v>20</v>
      </c>
      <c r="G48" s="330">
        <f t="shared" si="14"/>
        <v>20</v>
      </c>
      <c r="H48" s="332">
        <v>2</v>
      </c>
      <c r="I48" s="333"/>
      <c r="J48" s="334">
        <v>20</v>
      </c>
      <c r="K48" s="335">
        <v>20</v>
      </c>
      <c r="L48" s="336"/>
      <c r="M48" s="337"/>
      <c r="N48" s="338"/>
      <c r="O48" s="338"/>
      <c r="P48" s="338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6"/>
      <c r="AB48" s="334"/>
      <c r="AC48" s="337"/>
      <c r="AD48" s="336"/>
    </row>
    <row r="49" spans="1:30" x14ac:dyDescent="0.25">
      <c r="A49" s="458"/>
      <c r="B49" s="328" t="s">
        <v>46</v>
      </c>
      <c r="C49" s="329">
        <f t="shared" si="15"/>
        <v>12</v>
      </c>
      <c r="D49" s="330">
        <f t="shared" si="11"/>
        <v>5</v>
      </c>
      <c r="E49" s="330">
        <f t="shared" si="12"/>
        <v>7</v>
      </c>
      <c r="F49" s="331">
        <f t="shared" si="13"/>
        <v>6</v>
      </c>
      <c r="G49" s="330">
        <f t="shared" si="14"/>
        <v>6</v>
      </c>
      <c r="H49" s="332">
        <v>2</v>
      </c>
      <c r="I49" s="333"/>
      <c r="J49" s="334">
        <v>7</v>
      </c>
      <c r="K49" s="335">
        <v>5</v>
      </c>
      <c r="L49" s="336"/>
      <c r="M49" s="337"/>
      <c r="N49" s="338"/>
      <c r="O49" s="338"/>
      <c r="P49" s="338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6"/>
      <c r="AB49" s="334"/>
      <c r="AC49" s="337"/>
      <c r="AD49" s="336"/>
    </row>
    <row r="50" spans="1:30" x14ac:dyDescent="0.25">
      <c r="A50" s="458"/>
      <c r="B50" s="2" t="s">
        <v>47</v>
      </c>
      <c r="C50" s="255">
        <f t="shared" si="15"/>
        <v>13</v>
      </c>
      <c r="D50" s="249">
        <f t="shared" si="11"/>
        <v>2</v>
      </c>
      <c r="E50" s="249">
        <f t="shared" si="12"/>
        <v>3</v>
      </c>
      <c r="F50" s="250">
        <f t="shared" si="13"/>
        <v>2.1666666666666665</v>
      </c>
      <c r="G50" s="249">
        <f t="shared" si="14"/>
        <v>2</v>
      </c>
      <c r="H50" s="263">
        <v>6</v>
      </c>
      <c r="I50" s="240"/>
      <c r="J50" s="43">
        <v>3</v>
      </c>
      <c r="K50" s="236">
        <v>2</v>
      </c>
      <c r="L50" s="4">
        <v>2</v>
      </c>
      <c r="M50" s="6">
        <v>2</v>
      </c>
      <c r="N50" s="9">
        <v>2</v>
      </c>
      <c r="O50" s="9">
        <v>2</v>
      </c>
      <c r="P50" s="9"/>
      <c r="Q50" s="6"/>
      <c r="R50" s="6"/>
      <c r="S50" s="6"/>
      <c r="T50" s="6"/>
      <c r="U50" s="6"/>
      <c r="V50" s="6"/>
      <c r="W50" s="6"/>
      <c r="X50" s="6"/>
      <c r="Y50" s="6"/>
      <c r="Z50" s="6"/>
      <c r="AA50" s="4"/>
      <c r="AB50" s="43"/>
      <c r="AC50" s="6"/>
      <c r="AD50" s="4"/>
    </row>
    <row r="51" spans="1:30" x14ac:dyDescent="0.25">
      <c r="A51" s="458"/>
      <c r="B51" s="328" t="s">
        <v>48</v>
      </c>
      <c r="C51" s="329">
        <f t="shared" si="15"/>
        <v>14</v>
      </c>
      <c r="D51" s="330">
        <f t="shared" si="11"/>
        <v>6</v>
      </c>
      <c r="E51" s="330">
        <f t="shared" si="12"/>
        <v>8</v>
      </c>
      <c r="F51" s="331">
        <f t="shared" si="13"/>
        <v>7</v>
      </c>
      <c r="G51" s="330">
        <f t="shared" si="14"/>
        <v>7</v>
      </c>
      <c r="H51" s="332">
        <v>2</v>
      </c>
      <c r="I51" s="333"/>
      <c r="J51" s="334">
        <v>6</v>
      </c>
      <c r="K51" s="335">
        <v>8</v>
      </c>
      <c r="L51" s="336"/>
      <c r="M51" s="337"/>
      <c r="N51" s="338"/>
      <c r="O51" s="338"/>
      <c r="P51" s="338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6"/>
      <c r="AB51" s="334"/>
      <c r="AC51" s="337"/>
      <c r="AD51" s="336"/>
    </row>
    <row r="52" spans="1:30" x14ac:dyDescent="0.25">
      <c r="A52" s="458"/>
      <c r="B52" s="2" t="s">
        <v>49</v>
      </c>
      <c r="C52" s="255">
        <f t="shared" si="15"/>
        <v>27</v>
      </c>
      <c r="D52" s="249">
        <f t="shared" si="11"/>
        <v>12</v>
      </c>
      <c r="E52" s="249">
        <f t="shared" si="12"/>
        <v>15</v>
      </c>
      <c r="F52" s="250">
        <f t="shared" si="13"/>
        <v>13.5</v>
      </c>
      <c r="G52" s="249">
        <f t="shared" si="14"/>
        <v>13.5</v>
      </c>
      <c r="H52" s="263">
        <v>2</v>
      </c>
      <c r="I52" s="240"/>
      <c r="J52" s="43">
        <v>12</v>
      </c>
      <c r="K52" s="236">
        <v>15</v>
      </c>
      <c r="L52" s="4"/>
      <c r="M52" s="6"/>
      <c r="N52" s="9"/>
      <c r="O52" s="9"/>
      <c r="P52" s="9"/>
      <c r="Q52" s="6"/>
      <c r="R52" s="6"/>
      <c r="S52" s="6"/>
      <c r="T52" s="6"/>
      <c r="U52" s="6"/>
      <c r="V52" s="6"/>
      <c r="W52" s="6"/>
      <c r="X52" s="6"/>
      <c r="Y52" s="6"/>
      <c r="Z52" s="6"/>
      <c r="AA52" s="4"/>
      <c r="AB52" s="43"/>
      <c r="AC52" s="6"/>
      <c r="AD52" s="4"/>
    </row>
    <row r="53" spans="1:30" x14ac:dyDescent="0.25">
      <c r="A53" s="458"/>
      <c r="B53" s="2" t="s">
        <v>50</v>
      </c>
      <c r="C53" s="255">
        <f t="shared" si="15"/>
        <v>18</v>
      </c>
      <c r="D53" s="249">
        <f t="shared" si="11"/>
        <v>18</v>
      </c>
      <c r="E53" s="249">
        <f t="shared" si="12"/>
        <v>18</v>
      </c>
      <c r="F53" s="250">
        <f t="shared" si="13"/>
        <v>18</v>
      </c>
      <c r="G53" s="249">
        <f t="shared" si="14"/>
        <v>18</v>
      </c>
      <c r="H53" s="263">
        <v>1</v>
      </c>
      <c r="I53" s="240"/>
      <c r="J53" s="43">
        <v>18</v>
      </c>
      <c r="K53" s="236"/>
      <c r="L53" s="4"/>
      <c r="M53" s="6"/>
      <c r="N53" s="9"/>
      <c r="O53" s="9"/>
      <c r="P53" s="9"/>
      <c r="Q53" s="6"/>
      <c r="R53" s="6"/>
      <c r="S53" s="6"/>
      <c r="T53" s="6"/>
      <c r="U53" s="6"/>
      <c r="V53" s="6"/>
      <c r="W53" s="6"/>
      <c r="X53" s="6"/>
      <c r="Y53" s="6"/>
      <c r="Z53" s="6"/>
      <c r="AA53" s="4"/>
      <c r="AB53" s="43"/>
      <c r="AC53" s="6"/>
      <c r="AD53" s="4"/>
    </row>
    <row r="54" spans="1:30" x14ac:dyDescent="0.25">
      <c r="A54" s="458"/>
      <c r="B54" s="2" t="s">
        <v>51</v>
      </c>
      <c r="C54" s="255">
        <f t="shared" si="15"/>
        <v>19</v>
      </c>
      <c r="D54" s="249">
        <f t="shared" si="11"/>
        <v>2</v>
      </c>
      <c r="E54" s="249">
        <f t="shared" si="12"/>
        <v>3</v>
      </c>
      <c r="F54" s="250">
        <f t="shared" si="13"/>
        <v>2.375</v>
      </c>
      <c r="G54" s="249">
        <f t="shared" si="14"/>
        <v>2</v>
      </c>
      <c r="H54" s="263">
        <v>8</v>
      </c>
      <c r="I54" s="240"/>
      <c r="J54" s="43">
        <v>3</v>
      </c>
      <c r="K54" s="236">
        <v>2</v>
      </c>
      <c r="L54" s="4">
        <v>2</v>
      </c>
      <c r="M54" s="6">
        <v>2</v>
      </c>
      <c r="N54" s="9">
        <v>3</v>
      </c>
      <c r="O54" s="9">
        <v>3</v>
      </c>
      <c r="P54" s="9">
        <v>2</v>
      </c>
      <c r="Q54" s="6">
        <v>2</v>
      </c>
      <c r="R54" s="6"/>
      <c r="S54" s="6"/>
      <c r="T54" s="6"/>
      <c r="U54" s="6"/>
      <c r="V54" s="6"/>
      <c r="W54" s="6"/>
      <c r="X54" s="6"/>
      <c r="Y54" s="6"/>
      <c r="Z54" s="6"/>
      <c r="AA54" s="4"/>
      <c r="AB54" s="43"/>
      <c r="AC54" s="6"/>
      <c r="AD54" s="4"/>
    </row>
    <row r="55" spans="1:30" x14ac:dyDescent="0.25">
      <c r="A55" s="458"/>
      <c r="B55" s="2" t="s">
        <v>52</v>
      </c>
      <c r="C55" s="255">
        <f t="shared" si="15"/>
        <v>16</v>
      </c>
      <c r="D55" s="249">
        <f t="shared" si="11"/>
        <v>2</v>
      </c>
      <c r="E55" s="249">
        <f t="shared" si="12"/>
        <v>5</v>
      </c>
      <c r="F55" s="250">
        <f t="shared" si="13"/>
        <v>3.2</v>
      </c>
      <c r="G55" s="249">
        <f t="shared" si="14"/>
        <v>3</v>
      </c>
      <c r="H55" s="263">
        <v>5</v>
      </c>
      <c r="I55" s="240"/>
      <c r="J55" s="43">
        <v>3</v>
      </c>
      <c r="K55" s="236">
        <v>3</v>
      </c>
      <c r="L55" s="4">
        <v>5</v>
      </c>
      <c r="M55" s="6">
        <v>3</v>
      </c>
      <c r="N55" s="6">
        <v>2</v>
      </c>
      <c r="O55" s="9"/>
      <c r="P55" s="9"/>
      <c r="Q55" s="6"/>
      <c r="R55" s="6"/>
      <c r="S55" s="6"/>
      <c r="T55" s="6"/>
      <c r="U55" s="6"/>
      <c r="V55" s="6"/>
      <c r="W55" s="6"/>
      <c r="X55" s="6"/>
      <c r="Y55" s="6"/>
      <c r="Z55" s="6"/>
      <c r="AA55" s="4"/>
      <c r="AB55" s="43"/>
      <c r="AC55" s="6"/>
      <c r="AD55" s="4"/>
    </row>
    <row r="56" spans="1:30" x14ac:dyDescent="0.25">
      <c r="A56" s="458"/>
      <c r="B56" s="2" t="s">
        <v>53</v>
      </c>
      <c r="C56" s="255">
        <f t="shared" si="15"/>
        <v>6</v>
      </c>
      <c r="D56" s="249">
        <f t="shared" si="11"/>
        <v>1</v>
      </c>
      <c r="E56" s="249">
        <f t="shared" si="12"/>
        <v>3</v>
      </c>
      <c r="F56" s="250">
        <f t="shared" si="13"/>
        <v>1.5</v>
      </c>
      <c r="G56" s="249">
        <f t="shared" si="14"/>
        <v>1</v>
      </c>
      <c r="H56" s="263">
        <v>4</v>
      </c>
      <c r="I56" s="240"/>
      <c r="J56" s="44">
        <v>1</v>
      </c>
      <c r="K56" s="238">
        <v>1</v>
      </c>
      <c r="L56" s="35">
        <v>1</v>
      </c>
      <c r="M56" s="7">
        <v>3</v>
      </c>
      <c r="N56" s="11"/>
      <c r="O56" s="11"/>
      <c r="P56" s="11"/>
      <c r="Q56" s="7"/>
      <c r="R56" s="7"/>
      <c r="S56" s="7"/>
      <c r="T56" s="7"/>
      <c r="U56" s="7"/>
      <c r="V56" s="7"/>
      <c r="W56" s="7"/>
      <c r="X56" s="7"/>
      <c r="Y56" s="7"/>
      <c r="Z56" s="7"/>
      <c r="AA56" s="35"/>
      <c r="AB56" s="44"/>
      <c r="AC56" s="7"/>
      <c r="AD56" s="35"/>
    </row>
    <row r="57" spans="1:30" x14ac:dyDescent="0.25">
      <c r="A57" s="458"/>
      <c r="B57" s="2" t="s">
        <v>54</v>
      </c>
      <c r="C57" s="255">
        <f t="shared" si="15"/>
        <v>7</v>
      </c>
      <c r="D57" s="249">
        <f t="shared" si="11"/>
        <v>1</v>
      </c>
      <c r="E57" s="249">
        <f t="shared" si="12"/>
        <v>6</v>
      </c>
      <c r="F57" s="250">
        <f t="shared" si="13"/>
        <v>3.5</v>
      </c>
      <c r="G57" s="249">
        <f t="shared" si="14"/>
        <v>3.5</v>
      </c>
      <c r="H57" s="263">
        <v>2</v>
      </c>
      <c r="I57" s="240"/>
      <c r="J57" s="43">
        <v>1</v>
      </c>
      <c r="K57" s="236">
        <v>6</v>
      </c>
      <c r="L57" s="4"/>
      <c r="M57" s="6"/>
      <c r="N57" s="9"/>
      <c r="O57" s="9"/>
      <c r="P57" s="9"/>
      <c r="Q57" s="6"/>
      <c r="R57" s="6"/>
      <c r="S57" s="6"/>
      <c r="T57" s="6"/>
      <c r="U57" s="6"/>
      <c r="V57" s="6"/>
      <c r="W57" s="6"/>
      <c r="X57" s="6"/>
      <c r="Y57" s="6"/>
      <c r="Z57" s="6"/>
      <c r="AA57" s="4"/>
      <c r="AB57" s="43"/>
      <c r="AC57" s="6"/>
      <c r="AD57" s="4"/>
    </row>
    <row r="58" spans="1:30" x14ac:dyDescent="0.25">
      <c r="A58" s="458"/>
      <c r="B58" s="328" t="s">
        <v>55</v>
      </c>
      <c r="C58" s="329">
        <f t="shared" si="15"/>
        <v>12</v>
      </c>
      <c r="D58" s="330">
        <f t="shared" si="11"/>
        <v>3</v>
      </c>
      <c r="E58" s="330">
        <f t="shared" si="12"/>
        <v>5</v>
      </c>
      <c r="F58" s="331">
        <f t="shared" si="13"/>
        <v>4</v>
      </c>
      <c r="G58" s="330">
        <f t="shared" si="14"/>
        <v>4</v>
      </c>
      <c r="H58" s="332">
        <v>3</v>
      </c>
      <c r="I58" s="333"/>
      <c r="J58" s="334">
        <v>4</v>
      </c>
      <c r="K58" s="335">
        <v>3</v>
      </c>
      <c r="L58" s="336">
        <v>5</v>
      </c>
      <c r="M58" s="337"/>
      <c r="N58" s="338"/>
      <c r="O58" s="338"/>
      <c r="P58" s="338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6"/>
      <c r="AB58" s="334"/>
      <c r="AC58" s="337"/>
      <c r="AD58" s="336"/>
    </row>
    <row r="59" spans="1:30" x14ac:dyDescent="0.25">
      <c r="A59" s="460"/>
      <c r="B59" s="39" t="s">
        <v>56</v>
      </c>
      <c r="C59" s="255">
        <f t="shared" si="15"/>
        <v>4</v>
      </c>
      <c r="D59" s="249">
        <f t="shared" si="11"/>
        <v>2</v>
      </c>
      <c r="E59" s="249">
        <f t="shared" si="12"/>
        <v>2</v>
      </c>
      <c r="F59" s="250">
        <f t="shared" si="13"/>
        <v>2</v>
      </c>
      <c r="G59" s="249">
        <f t="shared" si="14"/>
        <v>2</v>
      </c>
      <c r="H59" s="263">
        <v>2</v>
      </c>
      <c r="I59" s="240"/>
      <c r="J59" s="43">
        <v>2</v>
      </c>
      <c r="K59" s="236">
        <v>2</v>
      </c>
      <c r="L59" s="4"/>
      <c r="M59" s="6"/>
      <c r="N59" s="9"/>
      <c r="O59" s="9"/>
      <c r="P59" s="9"/>
      <c r="Q59" s="6"/>
      <c r="R59" s="6"/>
      <c r="S59" s="6"/>
      <c r="T59" s="6"/>
      <c r="U59" s="6"/>
      <c r="V59" s="6"/>
      <c r="W59" s="6"/>
      <c r="X59" s="6"/>
      <c r="Y59" s="6"/>
      <c r="Z59" s="6"/>
      <c r="AA59" s="4"/>
      <c r="AB59" s="43"/>
      <c r="AC59" s="6"/>
      <c r="AD59" s="4"/>
    </row>
    <row r="60" spans="1:30" ht="15" customHeight="1" x14ac:dyDescent="0.25">
      <c r="A60" s="457" t="s">
        <v>57</v>
      </c>
      <c r="B60" s="1" t="s">
        <v>58</v>
      </c>
      <c r="C60" s="256"/>
      <c r="D60" s="38"/>
      <c r="E60" s="38"/>
      <c r="F60" s="41"/>
      <c r="G60" s="38"/>
      <c r="H60" s="266"/>
      <c r="I60" s="268"/>
      <c r="J60" s="37"/>
      <c r="K60" s="235"/>
      <c r="L60" s="34"/>
      <c r="M60" s="5"/>
      <c r="N60" s="10"/>
      <c r="O60" s="10"/>
      <c r="P60" s="10"/>
      <c r="Q60" s="5"/>
      <c r="R60" s="5"/>
      <c r="S60" s="5"/>
      <c r="T60" s="5"/>
      <c r="U60" s="5"/>
      <c r="V60" s="5"/>
      <c r="W60" s="5"/>
      <c r="X60" s="5"/>
      <c r="Y60" s="5"/>
      <c r="Z60" s="5"/>
      <c r="AA60" s="34"/>
      <c r="AB60" s="37"/>
      <c r="AC60" s="5"/>
      <c r="AD60" s="34"/>
    </row>
    <row r="61" spans="1:30" x14ac:dyDescent="0.25">
      <c r="A61" s="458"/>
      <c r="B61" s="40" t="s">
        <v>252</v>
      </c>
      <c r="C61" s="255">
        <f>SUM(J61:AD61)</f>
        <v>4</v>
      </c>
      <c r="D61" s="249">
        <f>MIN(J61:AD61)</f>
        <v>4</v>
      </c>
      <c r="E61" s="249">
        <f>MAX(J61:AD61)</f>
        <v>4</v>
      </c>
      <c r="F61" s="250">
        <f>AVERAGE(J61:AD61)</f>
        <v>4</v>
      </c>
      <c r="G61" s="249">
        <f>MEDIAN(J61:AD61)</f>
        <v>4</v>
      </c>
      <c r="H61" s="263">
        <v>1</v>
      </c>
      <c r="I61" s="240"/>
      <c r="J61" s="44">
        <v>4</v>
      </c>
      <c r="K61" s="238"/>
      <c r="L61" s="35"/>
      <c r="M61" s="6"/>
      <c r="N61" s="9"/>
      <c r="O61" s="9"/>
      <c r="P61" s="9"/>
      <c r="Q61" s="6"/>
      <c r="R61" s="6"/>
      <c r="S61" s="6"/>
      <c r="T61" s="6"/>
      <c r="U61" s="6"/>
      <c r="V61" s="6"/>
      <c r="W61" s="6"/>
      <c r="X61" s="6"/>
      <c r="Y61" s="6"/>
      <c r="Z61" s="6"/>
      <c r="AA61" s="4"/>
      <c r="AB61" s="43"/>
      <c r="AC61" s="6"/>
      <c r="AD61" s="4"/>
    </row>
    <row r="62" spans="1:30" x14ac:dyDescent="0.25">
      <c r="A62" s="458"/>
      <c r="B62" s="328" t="s">
        <v>59</v>
      </c>
      <c r="C62" s="329">
        <f t="shared" ref="C62:C65" si="16">SUM(J62:AD62)</f>
        <v>15</v>
      </c>
      <c r="D62" s="330">
        <f>MIN(J62:AD62)</f>
        <v>5</v>
      </c>
      <c r="E62" s="330">
        <f>MAX(J62:AD62)</f>
        <v>10</v>
      </c>
      <c r="F62" s="331">
        <f>AVERAGE(J62:AD62)</f>
        <v>7.5</v>
      </c>
      <c r="G62" s="330">
        <f>MEDIAN(J62:AD62)</f>
        <v>7.5</v>
      </c>
      <c r="H62" s="332">
        <v>2</v>
      </c>
      <c r="I62" s="333"/>
      <c r="J62" s="340">
        <v>5</v>
      </c>
      <c r="K62" s="341">
        <v>10</v>
      </c>
      <c r="L62" s="342"/>
      <c r="M62" s="343"/>
      <c r="N62" s="344"/>
      <c r="O62" s="344"/>
      <c r="P62" s="344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2"/>
      <c r="AB62" s="340"/>
      <c r="AC62" s="343"/>
      <c r="AD62" s="342"/>
    </row>
    <row r="63" spans="1:30" x14ac:dyDescent="0.25">
      <c r="A63" s="460"/>
      <c r="B63" s="328" t="s">
        <v>60</v>
      </c>
      <c r="C63" s="329">
        <f t="shared" si="16"/>
        <v>25</v>
      </c>
      <c r="D63" s="330">
        <f>MIN(J63:AD63)</f>
        <v>10</v>
      </c>
      <c r="E63" s="330">
        <f>MAX(J63:AD63)</f>
        <v>15</v>
      </c>
      <c r="F63" s="331">
        <f>AVERAGE(J63:AD63)</f>
        <v>12.5</v>
      </c>
      <c r="G63" s="330">
        <f>MEDIAN(J63:AD63)</f>
        <v>12.5</v>
      </c>
      <c r="H63" s="332">
        <v>2</v>
      </c>
      <c r="I63" s="333"/>
      <c r="J63" s="340">
        <v>10</v>
      </c>
      <c r="K63" s="341">
        <v>15</v>
      </c>
      <c r="L63" s="342"/>
      <c r="M63" s="343"/>
      <c r="N63" s="344"/>
      <c r="O63" s="344"/>
      <c r="P63" s="344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2"/>
      <c r="AB63" s="340"/>
      <c r="AC63" s="343"/>
      <c r="AD63" s="342"/>
    </row>
    <row r="64" spans="1:30" ht="14.25" customHeight="1" x14ac:dyDescent="0.25">
      <c r="A64" s="457" t="s">
        <v>61</v>
      </c>
      <c r="B64" s="2" t="s">
        <v>62</v>
      </c>
      <c r="C64" s="255">
        <f t="shared" si="16"/>
        <v>20</v>
      </c>
      <c r="D64" s="249">
        <f>MIN(J64:AD64)</f>
        <v>20</v>
      </c>
      <c r="E64" s="249">
        <f>MAX(J64:AD64)</f>
        <v>20</v>
      </c>
      <c r="F64" s="250">
        <f>AVERAGE(J64:AD64)</f>
        <v>20</v>
      </c>
      <c r="G64" s="249">
        <f>MEDIAN(J64:AD64)</f>
        <v>20</v>
      </c>
      <c r="H64" s="263">
        <v>1</v>
      </c>
      <c r="I64" s="240"/>
      <c r="J64" s="44">
        <v>20</v>
      </c>
      <c r="K64" s="238"/>
      <c r="L64" s="35"/>
      <c r="M64" s="7"/>
      <c r="N64" s="11"/>
      <c r="O64" s="11"/>
      <c r="P64" s="11"/>
      <c r="Q64" s="7"/>
      <c r="R64" s="7"/>
      <c r="S64" s="7"/>
      <c r="T64" s="7"/>
      <c r="U64" s="7"/>
      <c r="V64" s="7"/>
      <c r="W64" s="7"/>
      <c r="X64" s="7"/>
      <c r="Y64" s="7"/>
      <c r="Z64" s="7"/>
      <c r="AA64" s="35"/>
      <c r="AB64" s="44"/>
      <c r="AC64" s="7"/>
      <c r="AD64" s="35"/>
    </row>
    <row r="65" spans="1:30" x14ac:dyDescent="0.25">
      <c r="A65" s="460"/>
      <c r="B65" s="21" t="s">
        <v>63</v>
      </c>
      <c r="C65" s="255">
        <f t="shared" si="16"/>
        <v>62</v>
      </c>
      <c r="D65" s="249">
        <f>MIN(J65:AD65)</f>
        <v>17</v>
      </c>
      <c r="E65" s="249">
        <f>MAX(J65:AD65)</f>
        <v>25</v>
      </c>
      <c r="F65" s="250">
        <f>AVERAGE(J65:AD65)</f>
        <v>20.666666666666668</v>
      </c>
      <c r="G65" s="249">
        <f>MEDIAN(J65:AD65)</f>
        <v>20</v>
      </c>
      <c r="H65" s="263">
        <v>3</v>
      </c>
      <c r="I65" s="240"/>
      <c r="J65" s="44">
        <v>17</v>
      </c>
      <c r="K65" s="238">
        <v>20</v>
      </c>
      <c r="L65" s="35">
        <v>25</v>
      </c>
      <c r="M65" s="7"/>
      <c r="N65" s="11"/>
      <c r="O65" s="11"/>
      <c r="P65" s="11"/>
      <c r="Q65" s="7"/>
      <c r="R65" s="7"/>
      <c r="S65" s="7"/>
      <c r="T65" s="7"/>
      <c r="U65" s="7"/>
      <c r="V65" s="7"/>
      <c r="W65" s="7"/>
      <c r="X65" s="7"/>
      <c r="Y65" s="7"/>
      <c r="Z65" s="7"/>
      <c r="AA65" s="35"/>
      <c r="AB65" s="44"/>
      <c r="AC65" s="7"/>
      <c r="AD65" s="35"/>
    </row>
    <row r="66" spans="1:30" ht="15.75" customHeight="1" x14ac:dyDescent="0.25">
      <c r="A66" s="457" t="s">
        <v>70</v>
      </c>
      <c r="B66" s="1" t="s">
        <v>71</v>
      </c>
      <c r="C66" s="256"/>
      <c r="D66" s="38"/>
      <c r="E66" s="38"/>
      <c r="F66" s="41"/>
      <c r="G66" s="38"/>
      <c r="H66" s="266"/>
      <c r="I66" s="268"/>
      <c r="J66" s="37"/>
      <c r="K66" s="235"/>
      <c r="L66" s="34"/>
      <c r="M66" s="5"/>
      <c r="N66" s="10"/>
      <c r="O66" s="10"/>
      <c r="P66" s="10"/>
      <c r="Q66" s="5"/>
      <c r="R66" s="5"/>
      <c r="S66" s="5"/>
      <c r="T66" s="5"/>
      <c r="U66" s="5"/>
      <c r="V66" s="5"/>
      <c r="W66" s="5"/>
      <c r="X66" s="5"/>
      <c r="Y66" s="5"/>
      <c r="Z66" s="5"/>
      <c r="AA66" s="34"/>
      <c r="AB66" s="37"/>
      <c r="AC66" s="5"/>
      <c r="AD66" s="34"/>
    </row>
    <row r="67" spans="1:30" x14ac:dyDescent="0.25">
      <c r="A67" s="458"/>
      <c r="B67" s="40" t="s">
        <v>103</v>
      </c>
      <c r="C67" s="255">
        <f>SUM(J67:AD67)</f>
        <v>71</v>
      </c>
      <c r="D67" s="249">
        <f t="shared" ref="D67:D76" si="17">MIN(J67:AD67)</f>
        <v>10</v>
      </c>
      <c r="E67" s="249">
        <f t="shared" ref="E67:E76" si="18">MAX(J67:AD67)</f>
        <v>17</v>
      </c>
      <c r="F67" s="250">
        <f t="shared" ref="F67:F76" si="19">AVERAGE(J67:AD67)</f>
        <v>14.2</v>
      </c>
      <c r="G67" s="249">
        <f t="shared" ref="G67:G76" si="20">MEDIAN(J67:AD67)</f>
        <v>15</v>
      </c>
      <c r="H67" s="263">
        <v>5</v>
      </c>
      <c r="I67" s="240"/>
      <c r="J67" s="43">
        <v>10</v>
      </c>
      <c r="K67" s="236">
        <v>15</v>
      </c>
      <c r="L67" s="4">
        <v>17</v>
      </c>
      <c r="M67" s="6">
        <v>15</v>
      </c>
      <c r="N67" s="9">
        <v>14</v>
      </c>
      <c r="O67" s="9"/>
      <c r="P67" s="9"/>
      <c r="Q67" s="6"/>
      <c r="R67" s="6"/>
      <c r="S67" s="6"/>
      <c r="T67" s="6"/>
      <c r="U67" s="6"/>
      <c r="V67" s="6"/>
      <c r="W67" s="6"/>
      <c r="X67" s="6"/>
      <c r="Y67" s="6"/>
      <c r="Z67" s="6"/>
      <c r="AA67" s="4"/>
      <c r="AB67" s="43"/>
      <c r="AC67" s="6"/>
      <c r="AD67" s="4"/>
    </row>
    <row r="68" spans="1:30" x14ac:dyDescent="0.25">
      <c r="A68" s="458"/>
      <c r="B68" s="2" t="s">
        <v>72</v>
      </c>
      <c r="C68" s="255">
        <f t="shared" ref="C68:C76" si="21">SUM(J68:AD68)</f>
        <v>73</v>
      </c>
      <c r="D68" s="249">
        <f t="shared" si="17"/>
        <v>1</v>
      </c>
      <c r="E68" s="249">
        <f t="shared" si="18"/>
        <v>25</v>
      </c>
      <c r="F68" s="250">
        <f t="shared" si="19"/>
        <v>8.1111111111111107</v>
      </c>
      <c r="G68" s="249">
        <f t="shared" si="20"/>
        <v>5</v>
      </c>
      <c r="H68" s="263">
        <v>9</v>
      </c>
      <c r="I68" s="240"/>
      <c r="J68" s="43">
        <v>25</v>
      </c>
      <c r="K68" s="236">
        <v>6</v>
      </c>
      <c r="L68" s="4">
        <v>9</v>
      </c>
      <c r="M68" s="6">
        <v>1</v>
      </c>
      <c r="N68" s="9">
        <v>3</v>
      </c>
      <c r="O68" s="9">
        <v>1</v>
      </c>
      <c r="P68" s="9">
        <v>20</v>
      </c>
      <c r="Q68" s="6">
        <v>3</v>
      </c>
      <c r="R68" s="6">
        <v>5</v>
      </c>
      <c r="S68" s="6"/>
      <c r="T68" s="6"/>
      <c r="U68" s="6"/>
      <c r="V68" s="6"/>
      <c r="W68" s="6"/>
      <c r="X68" s="6"/>
      <c r="Y68" s="6"/>
      <c r="Z68" s="6"/>
      <c r="AA68" s="4"/>
      <c r="AB68" s="43"/>
      <c r="AC68" s="6"/>
      <c r="AD68" s="4"/>
    </row>
    <row r="69" spans="1:30" ht="15" customHeight="1" x14ac:dyDescent="0.25">
      <c r="A69" s="458"/>
      <c r="B69" s="2" t="s">
        <v>73</v>
      </c>
      <c r="C69" s="255">
        <f t="shared" si="21"/>
        <v>20</v>
      </c>
      <c r="D69" s="249">
        <f t="shared" si="17"/>
        <v>1</v>
      </c>
      <c r="E69" s="249">
        <f t="shared" si="18"/>
        <v>3</v>
      </c>
      <c r="F69" s="250">
        <f t="shared" si="19"/>
        <v>2.2222222222222223</v>
      </c>
      <c r="G69" s="249">
        <f t="shared" si="20"/>
        <v>2</v>
      </c>
      <c r="H69" s="263">
        <v>9</v>
      </c>
      <c r="I69" s="240"/>
      <c r="J69" s="43">
        <v>2</v>
      </c>
      <c r="K69" s="236">
        <v>3</v>
      </c>
      <c r="L69" s="4">
        <v>2</v>
      </c>
      <c r="M69" s="6">
        <v>2</v>
      </c>
      <c r="N69" s="9">
        <v>3</v>
      </c>
      <c r="O69" s="9">
        <v>2</v>
      </c>
      <c r="P69" s="9">
        <v>1</v>
      </c>
      <c r="Q69" s="6">
        <v>2</v>
      </c>
      <c r="R69" s="6">
        <v>3</v>
      </c>
      <c r="S69" s="6"/>
      <c r="T69" s="6"/>
      <c r="U69" s="6"/>
      <c r="V69" s="6"/>
      <c r="W69" s="6"/>
      <c r="X69" s="6"/>
      <c r="Y69" s="6"/>
      <c r="Z69" s="6"/>
      <c r="AA69" s="4"/>
      <c r="AB69" s="43"/>
      <c r="AC69" s="6"/>
      <c r="AD69" s="4"/>
    </row>
    <row r="70" spans="1:30" x14ac:dyDescent="0.25">
      <c r="A70" s="458"/>
      <c r="B70" s="2" t="s">
        <v>74</v>
      </c>
      <c r="C70" s="255">
        <f t="shared" si="21"/>
        <v>71</v>
      </c>
      <c r="D70" s="249">
        <f t="shared" si="17"/>
        <v>2</v>
      </c>
      <c r="E70" s="249">
        <f t="shared" si="18"/>
        <v>10</v>
      </c>
      <c r="F70" s="250">
        <f t="shared" si="19"/>
        <v>4.4375</v>
      </c>
      <c r="G70" s="249">
        <f t="shared" si="20"/>
        <v>4</v>
      </c>
      <c r="H70" s="263">
        <v>16</v>
      </c>
      <c r="I70" s="240"/>
      <c r="J70" s="43">
        <v>4</v>
      </c>
      <c r="K70" s="236">
        <v>4</v>
      </c>
      <c r="L70" s="4">
        <v>10</v>
      </c>
      <c r="M70" s="6">
        <v>9</v>
      </c>
      <c r="N70" s="9">
        <v>3</v>
      </c>
      <c r="O70" s="9">
        <v>3</v>
      </c>
      <c r="P70" s="9">
        <v>6</v>
      </c>
      <c r="Q70" s="6">
        <v>6</v>
      </c>
      <c r="R70" s="6">
        <v>3</v>
      </c>
      <c r="S70" s="6">
        <v>4</v>
      </c>
      <c r="T70" s="6">
        <v>5</v>
      </c>
      <c r="U70" s="6">
        <v>2</v>
      </c>
      <c r="V70" s="6">
        <v>4</v>
      </c>
      <c r="W70" s="6">
        <v>3</v>
      </c>
      <c r="X70" s="6">
        <v>3</v>
      </c>
      <c r="Y70" s="6">
        <v>2</v>
      </c>
      <c r="Z70" s="6"/>
      <c r="AA70" s="4"/>
      <c r="AB70" s="43"/>
      <c r="AC70" s="6"/>
      <c r="AD70" s="4"/>
    </row>
    <row r="71" spans="1:30" x14ac:dyDescent="0.25">
      <c r="A71" s="458"/>
      <c r="B71" s="2" t="s">
        <v>75</v>
      </c>
      <c r="C71" s="255">
        <f t="shared" si="21"/>
        <v>77</v>
      </c>
      <c r="D71" s="249">
        <f t="shared" si="17"/>
        <v>4</v>
      </c>
      <c r="E71" s="249">
        <f t="shared" si="18"/>
        <v>14</v>
      </c>
      <c r="F71" s="250">
        <f t="shared" si="19"/>
        <v>7.7</v>
      </c>
      <c r="G71" s="249">
        <f t="shared" si="20"/>
        <v>6.5</v>
      </c>
      <c r="H71" s="263">
        <v>10</v>
      </c>
      <c r="I71" s="240"/>
      <c r="J71" s="43">
        <v>6</v>
      </c>
      <c r="K71" s="236">
        <v>12</v>
      </c>
      <c r="L71" s="4">
        <v>14</v>
      </c>
      <c r="M71" s="6">
        <v>11</v>
      </c>
      <c r="N71" s="9">
        <v>7</v>
      </c>
      <c r="O71" s="9">
        <v>9</v>
      </c>
      <c r="P71" s="9">
        <v>6</v>
      </c>
      <c r="Q71" s="6">
        <v>4</v>
      </c>
      <c r="R71" s="6">
        <v>4</v>
      </c>
      <c r="S71" s="6">
        <v>4</v>
      </c>
      <c r="T71" s="6"/>
      <c r="U71" s="6"/>
      <c r="V71" s="6"/>
      <c r="W71" s="6"/>
      <c r="X71" s="6"/>
      <c r="Y71" s="6"/>
      <c r="Z71" s="6"/>
      <c r="AA71" s="4"/>
      <c r="AB71" s="43"/>
      <c r="AC71" s="6"/>
      <c r="AD71" s="4"/>
    </row>
    <row r="72" spans="1:30" x14ac:dyDescent="0.25">
      <c r="A72" s="458"/>
      <c r="B72" s="2" t="s">
        <v>76</v>
      </c>
      <c r="C72" s="255">
        <f t="shared" si="21"/>
        <v>4</v>
      </c>
      <c r="D72" s="249">
        <f t="shared" si="17"/>
        <v>1</v>
      </c>
      <c r="E72" s="249">
        <f t="shared" si="18"/>
        <v>3</v>
      </c>
      <c r="F72" s="250">
        <f t="shared" si="19"/>
        <v>2</v>
      </c>
      <c r="G72" s="249">
        <f t="shared" si="20"/>
        <v>2</v>
      </c>
      <c r="H72" s="263">
        <v>2</v>
      </c>
      <c r="I72" s="240"/>
      <c r="J72" s="43">
        <v>3</v>
      </c>
      <c r="K72" s="236">
        <v>1</v>
      </c>
      <c r="L72" s="4"/>
      <c r="M72" s="6"/>
      <c r="N72" s="9"/>
      <c r="O72" s="9"/>
      <c r="P72" s="9"/>
      <c r="Q72" s="6"/>
      <c r="R72" s="6"/>
      <c r="S72" s="6"/>
      <c r="T72" s="6"/>
      <c r="U72" s="6"/>
      <c r="V72" s="6"/>
      <c r="W72" s="6"/>
      <c r="X72" s="6"/>
      <c r="Y72" s="6"/>
      <c r="Z72" s="6"/>
      <c r="AA72" s="4"/>
      <c r="AB72" s="43"/>
      <c r="AC72" s="6"/>
      <c r="AD72" s="4"/>
    </row>
    <row r="73" spans="1:30" ht="14.25" customHeight="1" x14ac:dyDescent="0.25">
      <c r="A73" s="458"/>
      <c r="B73" s="2" t="s">
        <v>77</v>
      </c>
      <c r="C73" s="255">
        <f t="shared" si="21"/>
        <v>31</v>
      </c>
      <c r="D73" s="249">
        <f t="shared" si="17"/>
        <v>1</v>
      </c>
      <c r="E73" s="249">
        <f t="shared" si="18"/>
        <v>4</v>
      </c>
      <c r="F73" s="250">
        <f t="shared" si="19"/>
        <v>1.7222222222222223</v>
      </c>
      <c r="G73" s="249">
        <f t="shared" si="20"/>
        <v>2</v>
      </c>
      <c r="H73" s="263">
        <v>18</v>
      </c>
      <c r="I73" s="240"/>
      <c r="J73" s="43">
        <v>2</v>
      </c>
      <c r="K73" s="236">
        <v>1</v>
      </c>
      <c r="L73" s="4">
        <v>1</v>
      </c>
      <c r="M73" s="6">
        <v>3</v>
      </c>
      <c r="N73" s="9">
        <v>2</v>
      </c>
      <c r="O73" s="9">
        <v>2</v>
      </c>
      <c r="P73" s="9">
        <v>1</v>
      </c>
      <c r="Q73" s="6">
        <v>2</v>
      </c>
      <c r="R73" s="6">
        <v>2</v>
      </c>
      <c r="S73" s="6">
        <v>1</v>
      </c>
      <c r="T73" s="6">
        <v>4</v>
      </c>
      <c r="U73" s="6">
        <v>1</v>
      </c>
      <c r="V73" s="6">
        <v>1</v>
      </c>
      <c r="W73" s="6">
        <v>2</v>
      </c>
      <c r="X73" s="6">
        <v>1</v>
      </c>
      <c r="Y73" s="6">
        <v>2</v>
      </c>
      <c r="Z73" s="6">
        <v>1</v>
      </c>
      <c r="AA73" s="4">
        <v>2</v>
      </c>
      <c r="AB73" s="43"/>
      <c r="AC73" s="6"/>
      <c r="AD73" s="4"/>
    </row>
    <row r="74" spans="1:30" x14ac:dyDescent="0.25">
      <c r="A74" s="458"/>
      <c r="B74" s="2" t="s">
        <v>78</v>
      </c>
      <c r="C74" s="255">
        <f t="shared" si="21"/>
        <v>22</v>
      </c>
      <c r="D74" s="249">
        <f t="shared" si="17"/>
        <v>2</v>
      </c>
      <c r="E74" s="249">
        <f t="shared" si="18"/>
        <v>12</v>
      </c>
      <c r="F74" s="250">
        <f t="shared" si="19"/>
        <v>7.333333333333333</v>
      </c>
      <c r="G74" s="249">
        <f t="shared" si="20"/>
        <v>8</v>
      </c>
      <c r="H74" s="263">
        <v>3</v>
      </c>
      <c r="I74" s="240"/>
      <c r="J74" s="43">
        <v>12</v>
      </c>
      <c r="K74" s="236">
        <v>2</v>
      </c>
      <c r="L74" s="4">
        <v>8</v>
      </c>
      <c r="M74" s="6"/>
      <c r="N74" s="9"/>
      <c r="O74" s="9"/>
      <c r="P74" s="9"/>
      <c r="Q74" s="6"/>
      <c r="R74" s="6"/>
      <c r="S74" s="6"/>
      <c r="T74" s="6"/>
      <c r="U74" s="6"/>
      <c r="V74" s="6"/>
      <c r="W74" s="6"/>
      <c r="X74" s="6"/>
      <c r="Y74" s="6"/>
      <c r="Z74" s="6"/>
      <c r="AA74" s="4"/>
      <c r="AB74" s="43"/>
      <c r="AC74" s="6"/>
      <c r="AD74" s="4"/>
    </row>
    <row r="75" spans="1:30" ht="15.75" customHeight="1" x14ac:dyDescent="0.25">
      <c r="A75" s="458"/>
      <c r="B75" s="2" t="s">
        <v>79</v>
      </c>
      <c r="C75" s="255">
        <f t="shared" si="21"/>
        <v>5</v>
      </c>
      <c r="D75" s="249">
        <f t="shared" si="17"/>
        <v>5</v>
      </c>
      <c r="E75" s="249">
        <f t="shared" si="18"/>
        <v>5</v>
      </c>
      <c r="F75" s="250">
        <f t="shared" si="19"/>
        <v>5</v>
      </c>
      <c r="G75" s="249">
        <f t="shared" si="20"/>
        <v>5</v>
      </c>
      <c r="H75" s="263">
        <v>1</v>
      </c>
      <c r="I75" s="240"/>
      <c r="J75" s="44">
        <v>5</v>
      </c>
      <c r="K75" s="238"/>
      <c r="L75" s="35"/>
      <c r="M75" s="7"/>
      <c r="N75" s="11"/>
      <c r="O75" s="11"/>
      <c r="P75" s="11"/>
      <c r="Q75" s="7"/>
      <c r="R75" s="7"/>
      <c r="S75" s="7"/>
      <c r="T75" s="7"/>
      <c r="U75" s="7"/>
      <c r="V75" s="7"/>
      <c r="W75" s="7"/>
      <c r="X75" s="7"/>
      <c r="Y75" s="7"/>
      <c r="Z75" s="7"/>
      <c r="AA75" s="35"/>
      <c r="AB75" s="44"/>
      <c r="AC75" s="7"/>
      <c r="AD75" s="35"/>
    </row>
    <row r="76" spans="1:30" ht="15.75" thickBot="1" x14ac:dyDescent="0.3">
      <c r="A76" s="459"/>
      <c r="B76" s="3" t="s">
        <v>80</v>
      </c>
      <c r="C76" s="258">
        <f t="shared" si="21"/>
        <v>20</v>
      </c>
      <c r="D76" s="259">
        <f t="shared" si="17"/>
        <v>1</v>
      </c>
      <c r="E76" s="259">
        <f t="shared" si="18"/>
        <v>8</v>
      </c>
      <c r="F76" s="260">
        <f t="shared" si="19"/>
        <v>2.5</v>
      </c>
      <c r="G76" s="259">
        <f t="shared" si="20"/>
        <v>2</v>
      </c>
      <c r="H76" s="267">
        <v>8</v>
      </c>
      <c r="I76" s="269"/>
      <c r="J76" s="45">
        <v>1</v>
      </c>
      <c r="K76" s="239">
        <v>2</v>
      </c>
      <c r="L76" s="36">
        <v>1</v>
      </c>
      <c r="M76" s="8">
        <v>2</v>
      </c>
      <c r="N76" s="12">
        <v>1</v>
      </c>
      <c r="O76" s="12">
        <v>8</v>
      </c>
      <c r="P76" s="12">
        <v>3</v>
      </c>
      <c r="Q76" s="8">
        <v>2</v>
      </c>
      <c r="R76" s="8"/>
      <c r="S76" s="8"/>
      <c r="T76" s="8"/>
      <c r="U76" s="8"/>
      <c r="V76" s="8"/>
      <c r="W76" s="8"/>
      <c r="X76" s="8"/>
      <c r="Y76" s="8"/>
      <c r="Z76" s="8"/>
      <c r="AA76" s="36"/>
      <c r="AB76" s="45"/>
      <c r="AC76" s="8"/>
      <c r="AD76" s="36"/>
    </row>
    <row r="77" spans="1:30" ht="15" customHeight="1" x14ac:dyDescent="0.25">
      <c r="C77" s="24"/>
      <c r="D77" s="24"/>
    </row>
    <row r="82" spans="1:29" ht="15" customHeight="1" x14ac:dyDescent="0.25"/>
    <row r="86" spans="1:29" x14ac:dyDescent="0.25">
      <c r="A86" s="22"/>
      <c r="B86" s="23"/>
      <c r="C86" s="24"/>
      <c r="D86" s="24"/>
      <c r="E86" s="24"/>
      <c r="F86" s="25"/>
      <c r="G86" s="24"/>
      <c r="H86" s="24"/>
      <c r="I86" s="14"/>
      <c r="J86" s="14"/>
      <c r="K86" s="14"/>
      <c r="L86" s="14"/>
      <c r="M86" s="26"/>
      <c r="N86" s="26"/>
      <c r="O86" s="26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ht="15" customHeight="1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 spans="1:29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pans="1:29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 spans="1:29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 spans="1:29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 spans="1:29" ht="15" customHeight="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 spans="1:29" x14ac:dyDescent="0.25">
      <c r="A93" s="27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8"/>
      <c r="M93" s="29"/>
      <c r="N93" s="29"/>
      <c r="O93" s="29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x14ac:dyDescent="0.25">
      <c r="A94" s="27"/>
      <c r="B94" s="23"/>
      <c r="C94" s="24"/>
      <c r="D94" s="24"/>
      <c r="E94" s="24"/>
      <c r="F94" s="25"/>
      <c r="G94" s="24"/>
      <c r="H94" s="24"/>
      <c r="I94" s="24"/>
      <c r="J94" s="28"/>
      <c r="K94" s="28"/>
      <c r="L94" s="28"/>
      <c r="M94" s="29"/>
      <c r="N94" s="29"/>
      <c r="O94" s="29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spans="1:29" x14ac:dyDescent="0.25">
      <c r="A95" s="27"/>
      <c r="B95" s="30"/>
      <c r="C95" s="24"/>
      <c r="D95" s="24"/>
      <c r="E95" s="24"/>
      <c r="F95" s="25"/>
      <c r="G95" s="24"/>
      <c r="H95" s="24"/>
      <c r="I95" s="24"/>
      <c r="J95" s="28"/>
      <c r="K95" s="28"/>
      <c r="L95" s="28"/>
      <c r="M95" s="29"/>
      <c r="N95" s="29"/>
      <c r="O95" s="29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5" customHeight="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 spans="1:29" x14ac:dyDescent="0.25">
      <c r="A97" s="27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 spans="1:29" x14ac:dyDescent="0.25">
      <c r="A98" s="27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 spans="1:29" x14ac:dyDescent="0.25">
      <c r="A99" s="27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 spans="1:29" x14ac:dyDescent="0.25">
      <c r="A100" s="27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 spans="1:29" x14ac:dyDescent="0.25">
      <c r="A101" s="27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 spans="1:29" x14ac:dyDescent="0.25">
      <c r="A102" s="27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 spans="1:29" x14ac:dyDescent="0.25">
      <c r="A103" s="27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 spans="1:29" x14ac:dyDescent="0.25">
      <c r="A104" s="27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 spans="1:29" x14ac:dyDescent="0.25">
      <c r="A105" s="27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 spans="1:29" x14ac:dyDescent="0.25">
      <c r="A106" s="27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 spans="1:29" x14ac:dyDescent="0.25">
      <c r="A107" s="27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 spans="1:29" x14ac:dyDescent="0.25">
      <c r="A108" s="27"/>
      <c r="B108" s="30"/>
      <c r="C108" s="24"/>
      <c r="D108" s="24"/>
      <c r="E108" s="24"/>
      <c r="F108" s="25"/>
      <c r="G108" s="24"/>
      <c r="H108" s="24"/>
      <c r="I108" s="28"/>
      <c r="J108" s="28"/>
      <c r="K108" s="28"/>
      <c r="L108" s="28"/>
      <c r="M108" s="29"/>
      <c r="N108" s="29"/>
      <c r="O108" s="29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1:29" x14ac:dyDescent="0.25">
      <c r="A109" s="27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 spans="1:29" x14ac:dyDescent="0.25">
      <c r="A110" s="27"/>
      <c r="B110" s="30"/>
      <c r="C110" s="24"/>
      <c r="D110" s="24"/>
      <c r="E110" s="24"/>
      <c r="F110" s="25"/>
      <c r="G110" s="24"/>
      <c r="H110" s="24"/>
      <c r="I110" s="28"/>
      <c r="J110" s="28"/>
      <c r="K110" s="28"/>
      <c r="L110" s="28"/>
      <c r="M110" s="29"/>
      <c r="N110" s="29"/>
      <c r="O110" s="29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spans="1:29" x14ac:dyDescent="0.25">
      <c r="A111" s="27"/>
      <c r="B111" s="30"/>
      <c r="C111" s="24"/>
      <c r="D111" s="24"/>
      <c r="E111" s="24"/>
      <c r="F111" s="25"/>
      <c r="G111" s="24"/>
      <c r="H111" s="24"/>
      <c r="I111" s="28"/>
      <c r="J111" s="28"/>
      <c r="K111" s="28"/>
      <c r="L111" s="28"/>
      <c r="M111" s="29"/>
      <c r="N111" s="29"/>
      <c r="O111" s="29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spans="1:29" x14ac:dyDescent="0.25">
      <c r="A112" s="27"/>
      <c r="B112" s="30"/>
      <c r="C112" s="24"/>
      <c r="D112" s="24"/>
      <c r="E112" s="24"/>
      <c r="F112" s="25"/>
      <c r="G112" s="24"/>
      <c r="H112" s="24"/>
      <c r="I112" s="28"/>
      <c r="J112" s="28"/>
      <c r="K112" s="28"/>
      <c r="L112" s="28"/>
      <c r="M112" s="29"/>
      <c r="N112" s="29"/>
      <c r="O112" s="29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 spans="1:6" x14ac:dyDescent="0.25">
      <c r="A113" s="27"/>
    </row>
    <row r="119" spans="1:6" ht="15" customHeight="1" x14ac:dyDescent="0.25"/>
    <row r="124" spans="1:6" x14ac:dyDescent="0.25">
      <c r="F124" s="19"/>
    </row>
    <row r="129" ht="15" customHeight="1" x14ac:dyDescent="0.25"/>
  </sheetData>
  <mergeCells count="7">
    <mergeCell ref="A66:A76"/>
    <mergeCell ref="A3:A18"/>
    <mergeCell ref="A19:A25"/>
    <mergeCell ref="A26:A31"/>
    <mergeCell ref="A32:A59"/>
    <mergeCell ref="A60:A63"/>
    <mergeCell ref="A64:A65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90" zoomScaleNormal="90" workbookViewId="0">
      <selection activeCell="H36" sqref="H36"/>
    </sheetView>
  </sheetViews>
  <sheetFormatPr defaultRowHeight="15" x14ac:dyDescent="0.25"/>
  <cols>
    <col min="1" max="1" width="23.140625" style="119" bestFit="1" customWidth="1"/>
    <col min="2" max="3" width="14.28515625" style="119" bestFit="1" customWidth="1"/>
    <col min="4" max="4" width="17.85546875" style="119" bestFit="1" customWidth="1"/>
    <col min="5" max="5" width="20.42578125" style="119" bestFit="1" customWidth="1"/>
    <col min="6" max="6" width="19.85546875" style="119" bestFit="1" customWidth="1"/>
    <col min="7" max="7" width="29.42578125" style="119" bestFit="1" customWidth="1"/>
    <col min="8" max="8" width="19.85546875" style="119" bestFit="1" customWidth="1"/>
    <col min="9" max="9" width="24.28515625" style="119" bestFit="1" customWidth="1"/>
    <col min="10" max="10" width="7.7109375" style="119" customWidth="1"/>
    <col min="11" max="11" width="49.28515625" style="119" bestFit="1" customWidth="1"/>
    <col min="12" max="12" width="25.5703125" style="119" bestFit="1" customWidth="1"/>
    <col min="13" max="13" width="15.7109375" style="119" bestFit="1" customWidth="1"/>
    <col min="14" max="14" width="13.28515625" style="119" bestFit="1" customWidth="1"/>
    <col min="15" max="15" width="9.140625" style="119"/>
    <col min="16" max="16" width="10.140625" style="119" bestFit="1" customWidth="1"/>
    <col min="17" max="16384" width="9.140625" style="119"/>
  </cols>
  <sheetData>
    <row r="1" spans="1:16" ht="15.75" thickBot="1" x14ac:dyDescent="0.3">
      <c r="A1" s="118" t="s">
        <v>214</v>
      </c>
      <c r="E1" s="120"/>
      <c r="F1" s="191"/>
      <c r="G1" s="462" t="s">
        <v>215</v>
      </c>
      <c r="H1" s="463"/>
      <c r="K1" s="467" t="s">
        <v>263</v>
      </c>
      <c r="L1" s="468"/>
      <c r="P1" s="120"/>
    </row>
    <row r="2" spans="1:16" ht="15.75" thickBot="1" x14ac:dyDescent="0.3">
      <c r="A2" s="121"/>
      <c r="C2" s="122" t="s">
        <v>200</v>
      </c>
      <c r="D2" s="123" t="s">
        <v>198</v>
      </c>
      <c r="E2" s="124" t="s">
        <v>111</v>
      </c>
      <c r="G2" s="176"/>
      <c r="H2" s="177"/>
      <c r="K2" s="223" t="s">
        <v>236</v>
      </c>
      <c r="L2" s="155">
        <v>8400</v>
      </c>
    </row>
    <row r="3" spans="1:16" x14ac:dyDescent="0.25">
      <c r="A3" s="192" t="s">
        <v>222</v>
      </c>
      <c r="B3" s="193"/>
      <c r="C3" s="184">
        <v>1650</v>
      </c>
      <c r="D3" s="125">
        <v>232</v>
      </c>
      <c r="E3" s="126">
        <f>SUM(C3:D3)</f>
        <v>1882</v>
      </c>
      <c r="G3" s="465" t="s">
        <v>228</v>
      </c>
      <c r="H3" s="466"/>
      <c r="K3" s="186" t="s">
        <v>237</v>
      </c>
      <c r="L3" s="101">
        <v>215</v>
      </c>
    </row>
    <row r="4" spans="1:16" x14ac:dyDescent="0.25">
      <c r="A4" s="302" t="s">
        <v>227</v>
      </c>
      <c r="B4" s="194"/>
      <c r="C4" s="185">
        <v>45</v>
      </c>
      <c r="D4" s="127">
        <v>55</v>
      </c>
      <c r="E4" s="128"/>
      <c r="G4" s="186" t="s">
        <v>229</v>
      </c>
      <c r="H4" s="133" t="s">
        <v>240</v>
      </c>
      <c r="K4" s="186" t="s">
        <v>238</v>
      </c>
      <c r="L4" s="221">
        <v>0.05</v>
      </c>
    </row>
    <row r="5" spans="1:16" ht="15.75" thickBot="1" x14ac:dyDescent="0.3">
      <c r="A5" s="195" t="s">
        <v>226</v>
      </c>
      <c r="B5" s="196"/>
      <c r="C5" s="186">
        <v>2144</v>
      </c>
      <c r="D5" s="132">
        <v>2665</v>
      </c>
      <c r="E5" s="133"/>
      <c r="G5" s="186" t="s">
        <v>230</v>
      </c>
      <c r="H5" s="133">
        <v>45</v>
      </c>
      <c r="K5" s="217" t="s">
        <v>249</v>
      </c>
      <c r="L5" s="163">
        <f>L2*L4</f>
        <v>420</v>
      </c>
    </row>
    <row r="6" spans="1:16" ht="15.75" thickBot="1" x14ac:dyDescent="0.3">
      <c r="A6" s="129" t="s">
        <v>211</v>
      </c>
      <c r="B6" s="180"/>
      <c r="C6" s="187">
        <f>12*C5</f>
        <v>25728</v>
      </c>
      <c r="D6" s="130">
        <f>12*D5</f>
        <v>31980</v>
      </c>
      <c r="E6" s="128"/>
      <c r="G6" s="186" t="s">
        <v>226</v>
      </c>
      <c r="H6" s="133">
        <v>2144</v>
      </c>
      <c r="K6" s="176"/>
      <c r="L6" s="177"/>
    </row>
    <row r="7" spans="1:16" x14ac:dyDescent="0.25">
      <c r="A7" s="375" t="s">
        <v>317</v>
      </c>
      <c r="B7" s="142"/>
      <c r="C7" s="186"/>
      <c r="D7" s="132"/>
      <c r="E7" s="370">
        <v>8.6E-3</v>
      </c>
      <c r="F7" s="134"/>
      <c r="G7" s="186" t="s">
        <v>245</v>
      </c>
      <c r="H7" s="101">
        <v>2144</v>
      </c>
      <c r="K7" s="223" t="s">
        <v>243</v>
      </c>
      <c r="L7" s="155">
        <v>700</v>
      </c>
    </row>
    <row r="8" spans="1:16" ht="15.75" thickBot="1" x14ac:dyDescent="0.3">
      <c r="A8" s="375" t="s">
        <v>318</v>
      </c>
      <c r="B8" s="142"/>
      <c r="C8" s="186"/>
      <c r="D8" s="132"/>
      <c r="E8" s="221">
        <v>0.28000000000000003</v>
      </c>
      <c r="F8" s="136"/>
      <c r="G8" s="160" t="s">
        <v>231</v>
      </c>
      <c r="H8" s="216">
        <f>H7/6*52</f>
        <v>18581.333333333332</v>
      </c>
      <c r="K8" s="186" t="s">
        <v>244</v>
      </c>
      <c r="L8" s="101">
        <v>8</v>
      </c>
    </row>
    <row r="9" spans="1:16" ht="15.75" thickBot="1" x14ac:dyDescent="0.3">
      <c r="A9" s="129" t="s">
        <v>224</v>
      </c>
      <c r="B9" s="180"/>
      <c r="C9" s="371">
        <f>E7*E8</f>
        <v>2.4080000000000004E-3</v>
      </c>
      <c r="D9" s="372">
        <f>0.5*C9</f>
        <v>1.2040000000000002E-3</v>
      </c>
      <c r="E9" s="135"/>
      <c r="G9" s="176"/>
      <c r="H9" s="177"/>
      <c r="K9" s="186" t="s">
        <v>242</v>
      </c>
      <c r="L9" s="171">
        <f>L7*L8</f>
        <v>5600</v>
      </c>
    </row>
    <row r="10" spans="1:16" x14ac:dyDescent="0.25">
      <c r="A10" s="131" t="s">
        <v>293</v>
      </c>
      <c r="B10" s="181"/>
      <c r="C10" s="188">
        <f>480*C9</f>
        <v>1.1558400000000002</v>
      </c>
      <c r="D10" s="132" t="s">
        <v>241</v>
      </c>
      <c r="E10" s="128"/>
      <c r="G10" s="465" t="s">
        <v>232</v>
      </c>
      <c r="H10" s="466"/>
      <c r="K10" s="273" t="s">
        <v>271</v>
      </c>
      <c r="L10" s="133">
        <v>4</v>
      </c>
    </row>
    <row r="11" spans="1:16" ht="15.75" thickBot="1" x14ac:dyDescent="0.3">
      <c r="A11" s="302" t="s">
        <v>234</v>
      </c>
      <c r="B11" s="194"/>
      <c r="C11" s="189">
        <f>C9*C3</f>
        <v>3.9732000000000007</v>
      </c>
      <c r="D11" s="140">
        <f>D9*D3</f>
        <v>0.27932800000000002</v>
      </c>
      <c r="E11" s="141">
        <f>SUM(C11:D11)</f>
        <v>4.2525280000000008</v>
      </c>
      <c r="G11" s="217" t="s">
        <v>233</v>
      </c>
      <c r="H11" s="103">
        <v>100000</v>
      </c>
      <c r="K11" s="186" t="s">
        <v>272</v>
      </c>
      <c r="L11" s="101">
        <f>L10*'Att E Kosten totaal (Active)'!H21</f>
        <v>2541</v>
      </c>
    </row>
    <row r="12" spans="1:16" ht="15.75" thickBot="1" x14ac:dyDescent="0.3">
      <c r="A12" s="178" t="s">
        <v>235</v>
      </c>
      <c r="B12" s="182"/>
      <c r="C12" s="367">
        <f>C11*C6</f>
        <v>102222.48960000002</v>
      </c>
      <c r="D12" s="368">
        <f>D11*D6</f>
        <v>8932.9094400000013</v>
      </c>
      <c r="E12" s="369">
        <f>SUM(C12:D12)</f>
        <v>111155.39904000002</v>
      </c>
      <c r="K12" s="273" t="s">
        <v>273</v>
      </c>
      <c r="L12" s="274">
        <v>1</v>
      </c>
      <c r="O12" s="136"/>
      <c r="P12" s="136"/>
    </row>
    <row r="13" spans="1:16" ht="15.75" thickBot="1" x14ac:dyDescent="0.3">
      <c r="A13" s="143" t="s">
        <v>212</v>
      </c>
      <c r="B13" s="183"/>
      <c r="C13" s="190"/>
      <c r="D13" s="144"/>
      <c r="E13" s="145">
        <f>E12*0.8</f>
        <v>88924.319232000023</v>
      </c>
      <c r="K13" s="275" t="s">
        <v>272</v>
      </c>
      <c r="L13" s="222">
        <f>L12*'Att E Kosten totaal (Active)'!H20</f>
        <v>2299</v>
      </c>
      <c r="N13" s="117"/>
      <c r="O13" s="134"/>
      <c r="P13" s="134"/>
    </row>
    <row r="14" spans="1:16" ht="15.75" thickBot="1" x14ac:dyDescent="0.3">
      <c r="A14" s="203"/>
      <c r="K14" s="272"/>
      <c r="L14" s="147"/>
      <c r="N14" s="117"/>
      <c r="O14" s="134"/>
      <c r="P14" s="134"/>
    </row>
    <row r="15" spans="1:16" x14ac:dyDescent="0.25">
      <c r="A15" s="114" t="s">
        <v>202</v>
      </c>
      <c r="B15" s="115"/>
      <c r="C15" s="115"/>
      <c r="D15" s="137" t="s">
        <v>201</v>
      </c>
      <c r="E15" s="137"/>
      <c r="F15" s="138"/>
      <c r="G15" s="138"/>
      <c r="H15" s="139"/>
      <c r="K15" s="224" t="s">
        <v>246</v>
      </c>
      <c r="L15" s="225" t="s">
        <v>247</v>
      </c>
      <c r="N15" s="117"/>
      <c r="O15" s="134"/>
      <c r="P15" s="134"/>
    </row>
    <row r="16" spans="1:16" x14ac:dyDescent="0.25">
      <c r="A16" s="199" t="s">
        <v>203</v>
      </c>
      <c r="B16" s="200"/>
      <c r="C16" s="200"/>
      <c r="D16" s="108">
        <f>'Att. D Kosten totaal (Hybrid)'!I28*0.5/2</f>
        <v>907.49999999999989</v>
      </c>
      <c r="E16" s="142"/>
      <c r="F16" s="201" t="s">
        <v>213</v>
      </c>
      <c r="G16" s="201"/>
      <c r="H16" s="109">
        <f>2*D16</f>
        <v>1814.9999999999998</v>
      </c>
      <c r="K16" s="186" t="s">
        <v>248</v>
      </c>
      <c r="L16" s="101">
        <v>2144</v>
      </c>
      <c r="N16" s="117"/>
      <c r="O16" s="134"/>
      <c r="P16" s="134"/>
    </row>
    <row r="17" spans="1:13" x14ac:dyDescent="0.25">
      <c r="A17" s="199" t="s">
        <v>204</v>
      </c>
      <c r="B17" s="200"/>
      <c r="C17" s="200"/>
      <c r="D17" s="108">
        <f>10000</f>
        <v>10000</v>
      </c>
      <c r="E17" s="142"/>
      <c r="F17" s="201" t="s">
        <v>216</v>
      </c>
      <c r="G17" s="201"/>
      <c r="H17" s="202"/>
      <c r="K17" s="230" t="s">
        <v>201</v>
      </c>
      <c r="L17" s="232">
        <f>8/160*2144*12</f>
        <v>1286.4000000000001</v>
      </c>
    </row>
    <row r="18" spans="1:13" ht="15.75" thickBot="1" x14ac:dyDescent="0.3">
      <c r="A18" s="197" t="s">
        <v>205</v>
      </c>
      <c r="B18" s="198"/>
      <c r="C18" s="198"/>
      <c r="D18" s="110">
        <f>'Att. D Kosten totaal (Hybrid)'!G28*24*1.21</f>
        <v>1452</v>
      </c>
      <c r="E18" s="146"/>
      <c r="F18" s="146"/>
      <c r="G18" s="146"/>
      <c r="H18" s="147"/>
      <c r="K18" s="217" t="s">
        <v>251</v>
      </c>
      <c r="L18" s="103">
        <f>3*(4/160)*L16</f>
        <v>160.80000000000001</v>
      </c>
    </row>
    <row r="19" spans="1:13" ht="15.75" thickBot="1" x14ac:dyDescent="0.3">
      <c r="K19" s="176"/>
      <c r="L19" s="177"/>
    </row>
    <row r="20" spans="1:13" ht="15.75" thickBot="1" x14ac:dyDescent="0.3">
      <c r="K20" s="223" t="s">
        <v>239</v>
      </c>
      <c r="L20" s="226">
        <f>L2*L3*L4-L17</f>
        <v>89013.6</v>
      </c>
    </row>
    <row r="21" spans="1:13" ht="15.75" thickBot="1" x14ac:dyDescent="0.3">
      <c r="A21" s="227" t="s">
        <v>223</v>
      </c>
      <c r="B21" s="228"/>
      <c r="C21" s="228"/>
      <c r="D21" s="228"/>
      <c r="E21" s="179"/>
      <c r="F21" s="179"/>
      <c r="G21" s="228"/>
      <c r="H21" s="228"/>
      <c r="I21" s="229"/>
      <c r="K21" s="230" t="s">
        <v>316</v>
      </c>
      <c r="L21" s="231">
        <f>0.2*L20-L17</f>
        <v>16516.32</v>
      </c>
    </row>
    <row r="22" spans="1:13" x14ac:dyDescent="0.25">
      <c r="A22" s="148"/>
      <c r="B22" s="149" t="s">
        <v>206</v>
      </c>
      <c r="C22" s="150"/>
      <c r="D22" s="151" t="s">
        <v>110</v>
      </c>
      <c r="E22" s="152" t="s">
        <v>221</v>
      </c>
      <c r="F22" s="153"/>
      <c r="G22" s="152" t="s">
        <v>218</v>
      </c>
      <c r="H22" s="154"/>
      <c r="I22" s="155"/>
      <c r="K22" s="273" t="s">
        <v>287</v>
      </c>
      <c r="L22" s="171">
        <f>L9+L11+L13+L18</f>
        <v>10600.8</v>
      </c>
    </row>
    <row r="23" spans="1:13" ht="15.75" thickBot="1" x14ac:dyDescent="0.3">
      <c r="A23" s="156"/>
      <c r="B23" s="157" t="s">
        <v>207</v>
      </c>
      <c r="C23" s="158" t="s">
        <v>199</v>
      </c>
      <c r="D23" s="159" t="s">
        <v>220</v>
      </c>
      <c r="E23" s="160" t="s">
        <v>209</v>
      </c>
      <c r="F23" s="161" t="s">
        <v>210</v>
      </c>
      <c r="G23" s="160" t="s">
        <v>217</v>
      </c>
      <c r="H23" s="162" t="s">
        <v>219</v>
      </c>
      <c r="I23" s="163" t="s">
        <v>208</v>
      </c>
      <c r="K23" s="217" t="s">
        <v>250</v>
      </c>
      <c r="L23" s="233">
        <f>(L22)/((L21/12)-(L17/12))</f>
        <v>8.3526111758958681</v>
      </c>
    </row>
    <row r="24" spans="1:13" x14ac:dyDescent="0.25">
      <c r="A24" s="204">
        <v>1</v>
      </c>
      <c r="B24" s="164">
        <f>(2/3)*E12+H8+H11+L21</f>
        <v>209201.25269333334</v>
      </c>
      <c r="C24" s="100">
        <f>0.5*E13+H8+L21+H11</f>
        <v>179559.81294933334</v>
      </c>
      <c r="D24" s="165">
        <f>('Att. D Kosten totaal (Hybrid)'!I44+L9+L11+L13+L17+L18)*(-1)</f>
        <v>-1258367.7</v>
      </c>
      <c r="E24" s="113">
        <f>B24+D24</f>
        <v>-1049166.4473066665</v>
      </c>
      <c r="F24" s="166">
        <f>C24+D24</f>
        <v>-1078807.8870506666</v>
      </c>
      <c r="G24" s="167">
        <f>E24</f>
        <v>-1049166.4473066665</v>
      </c>
      <c r="H24" s="105">
        <f>F24</f>
        <v>-1078807.8870506666</v>
      </c>
      <c r="I24" s="168">
        <f>H24/1</f>
        <v>-1078807.8870506666</v>
      </c>
    </row>
    <row r="25" spans="1:13" x14ac:dyDescent="0.25">
      <c r="A25" s="204">
        <v>2</v>
      </c>
      <c r="B25" s="164">
        <f>E12+H8+L21</f>
        <v>146253.05237333334</v>
      </c>
      <c r="C25" s="101">
        <f>E13+H8+L21</f>
        <v>124021.97256533336</v>
      </c>
      <c r="D25" s="111">
        <f>(SUM(D17:D18)+L17)*(-1)</f>
        <v>-12738.4</v>
      </c>
      <c r="E25" s="102">
        <f>B25+D25</f>
        <v>133514.65237333335</v>
      </c>
      <c r="F25" s="169">
        <f>C25+D25</f>
        <v>111283.57256533336</v>
      </c>
      <c r="G25" s="170">
        <f t="shared" ref="G25:H28" si="0">G24+E25</f>
        <v>-915651.79493333318</v>
      </c>
      <c r="H25" s="106">
        <f t="shared" si="0"/>
        <v>-967524.31448533328</v>
      </c>
      <c r="I25" s="171">
        <f>H25/2</f>
        <v>-483762.15724266664</v>
      </c>
    </row>
    <row r="26" spans="1:13" x14ac:dyDescent="0.25">
      <c r="A26" s="204">
        <v>3</v>
      </c>
      <c r="B26" s="164">
        <f>E12+H8+L21</f>
        <v>146253.05237333334</v>
      </c>
      <c r="C26" s="101">
        <f>E13+H8+L21</f>
        <v>124021.97256533336</v>
      </c>
      <c r="D26" s="111">
        <f>(H16+D17+D18+L17)*(-1)</f>
        <v>-14553.4</v>
      </c>
      <c r="E26" s="102">
        <f t="shared" ref="E26:E27" si="1">B26+D26</f>
        <v>131699.65237333335</v>
      </c>
      <c r="F26" s="169">
        <f t="shared" ref="F26:F27" si="2">C26+D26</f>
        <v>109468.57256533336</v>
      </c>
      <c r="G26" s="170">
        <f t="shared" si="0"/>
        <v>-783952.14255999983</v>
      </c>
      <c r="H26" s="106">
        <f t="shared" si="0"/>
        <v>-858055.74191999994</v>
      </c>
      <c r="I26" s="168">
        <f>H26/3</f>
        <v>-286018.58064</v>
      </c>
    </row>
    <row r="27" spans="1:13" x14ac:dyDescent="0.25">
      <c r="A27" s="204">
        <v>4</v>
      </c>
      <c r="B27" s="164">
        <f>E12+H8+L21</f>
        <v>146253.05237333334</v>
      </c>
      <c r="C27" s="101">
        <f>E13+H8+L21</f>
        <v>124021.97256533336</v>
      </c>
      <c r="D27" s="111">
        <f>(SUM(D17:D18)+L17)*(-1)</f>
        <v>-12738.4</v>
      </c>
      <c r="E27" s="102">
        <f t="shared" si="1"/>
        <v>133514.65237333335</v>
      </c>
      <c r="F27" s="169">
        <f t="shared" si="2"/>
        <v>111283.57256533336</v>
      </c>
      <c r="G27" s="170">
        <f t="shared" si="0"/>
        <v>-650437.49018666649</v>
      </c>
      <c r="H27" s="106">
        <f t="shared" si="0"/>
        <v>-746772.16935466661</v>
      </c>
      <c r="I27" s="171">
        <f>H27/4</f>
        <v>-186693.04233866665</v>
      </c>
    </row>
    <row r="28" spans="1:13" ht="15.75" thickBot="1" x14ac:dyDescent="0.3">
      <c r="A28" s="205">
        <v>5</v>
      </c>
      <c r="B28" s="172">
        <f>E12+H8+L21</f>
        <v>146253.05237333334</v>
      </c>
      <c r="C28" s="103">
        <f>E13+H8+L21</f>
        <v>124021.97256533336</v>
      </c>
      <c r="D28" s="112">
        <f>(H16+D17+D18+L17)*(-1)</f>
        <v>-14553.4</v>
      </c>
      <c r="E28" s="104">
        <f>B28+D28</f>
        <v>131699.65237333335</v>
      </c>
      <c r="F28" s="173">
        <f>C28+D28</f>
        <v>109468.57256533336</v>
      </c>
      <c r="G28" s="174">
        <f t="shared" si="0"/>
        <v>-518737.83781333314</v>
      </c>
      <c r="H28" s="107">
        <f t="shared" si="0"/>
        <v>-637303.59678933327</v>
      </c>
      <c r="I28" s="175">
        <f>H28/5</f>
        <v>-127460.71935786665</v>
      </c>
    </row>
    <row r="29" spans="1:13" x14ac:dyDescent="0.25">
      <c r="A29" s="176"/>
      <c r="B29" s="142"/>
      <c r="C29" s="142"/>
      <c r="D29" s="142"/>
      <c r="E29" s="142"/>
      <c r="F29" s="142"/>
      <c r="G29" s="142"/>
      <c r="H29" s="142"/>
      <c r="I29" s="177"/>
    </row>
    <row r="30" spans="1:13" ht="15.75" thickBot="1" x14ac:dyDescent="0.3">
      <c r="A30" s="218" t="s">
        <v>225</v>
      </c>
      <c r="B30" s="219">
        <f>AVERAGE(B24:B28)</f>
        <v>158842.69243733335</v>
      </c>
      <c r="C30" s="219">
        <f>AVERAGE(C24:C28)</f>
        <v>135129.54064213336</v>
      </c>
      <c r="D30" s="219">
        <f>AVERAGE(D24:D28)</f>
        <v>-262590.25999999989</v>
      </c>
      <c r="E30" s="219">
        <f>AVERAGE(E24:E28)</f>
        <v>-103747.56756266663</v>
      </c>
      <c r="F30" s="219">
        <f>AVERAGE(F24:F28)</f>
        <v>-127460.71935786665</v>
      </c>
      <c r="G30" s="146"/>
      <c r="H30" s="146"/>
      <c r="I30" s="147"/>
      <c r="M30" s="136"/>
    </row>
    <row r="32" spans="1:13" x14ac:dyDescent="0.25">
      <c r="B32" s="119" t="s">
        <v>275</v>
      </c>
      <c r="E32" s="276">
        <f>2+(H25)/(H25-H26)</f>
        <v>10.838375177568819</v>
      </c>
      <c r="F32" s="119" t="s">
        <v>276</v>
      </c>
    </row>
    <row r="33" spans="2:6" x14ac:dyDescent="0.25">
      <c r="B33" s="119" t="s">
        <v>253</v>
      </c>
      <c r="E33" s="277">
        <v>5.9045269500928104</v>
      </c>
      <c r="F33" s="119" t="s">
        <v>254</v>
      </c>
    </row>
  </sheetData>
  <mergeCells count="4">
    <mergeCell ref="G1:H1"/>
    <mergeCell ref="K1:L1"/>
    <mergeCell ref="G3:H3"/>
    <mergeCell ref="G10:H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E32" sqref="E32"/>
    </sheetView>
  </sheetViews>
  <sheetFormatPr defaultRowHeight="15" x14ac:dyDescent="0.25"/>
  <cols>
    <col min="1" max="1" width="23.140625" style="119" bestFit="1" customWidth="1"/>
    <col min="2" max="3" width="14.28515625" style="119" bestFit="1" customWidth="1"/>
    <col min="4" max="4" width="17.85546875" style="119" bestFit="1" customWidth="1"/>
    <col min="5" max="5" width="20.42578125" style="119" bestFit="1" customWidth="1"/>
    <col min="6" max="6" width="19.85546875" style="119" bestFit="1" customWidth="1"/>
    <col min="7" max="7" width="29.42578125" style="119" bestFit="1" customWidth="1"/>
    <col min="8" max="8" width="19.85546875" style="119" bestFit="1" customWidth="1"/>
    <col min="9" max="9" width="24.28515625" style="119" bestFit="1" customWidth="1"/>
    <col min="10" max="10" width="7.7109375" style="119" customWidth="1"/>
    <col min="11" max="11" width="49.28515625" style="119" bestFit="1" customWidth="1"/>
    <col min="12" max="12" width="25.5703125" style="119" bestFit="1" customWidth="1"/>
    <col min="13" max="13" width="15.7109375" style="119" bestFit="1" customWidth="1"/>
    <col min="14" max="14" width="13.28515625" style="119" bestFit="1" customWidth="1"/>
    <col min="15" max="15" width="9.140625" style="119"/>
    <col min="16" max="16" width="10.140625" style="119" bestFit="1" customWidth="1"/>
    <col min="17" max="16384" width="9.140625" style="119"/>
  </cols>
  <sheetData>
    <row r="1" spans="1:16" ht="15.75" thickBot="1" x14ac:dyDescent="0.3">
      <c r="A1" s="118" t="s">
        <v>214</v>
      </c>
      <c r="E1" s="120"/>
      <c r="F1" s="191"/>
      <c r="G1" s="462" t="s">
        <v>215</v>
      </c>
      <c r="H1" s="463"/>
      <c r="K1" s="467" t="s">
        <v>263</v>
      </c>
      <c r="L1" s="468"/>
      <c r="P1" s="120"/>
    </row>
    <row r="2" spans="1:16" ht="15.75" thickBot="1" x14ac:dyDescent="0.3">
      <c r="A2" s="121"/>
      <c r="C2" s="122" t="s">
        <v>200</v>
      </c>
      <c r="D2" s="123" t="s">
        <v>198</v>
      </c>
      <c r="E2" s="124" t="s">
        <v>111</v>
      </c>
      <c r="G2" s="176"/>
      <c r="H2" s="177"/>
      <c r="K2" s="223" t="s">
        <v>236</v>
      </c>
      <c r="L2" s="155">
        <v>8400</v>
      </c>
    </row>
    <row r="3" spans="1:16" x14ac:dyDescent="0.25">
      <c r="A3" s="192" t="s">
        <v>222</v>
      </c>
      <c r="B3" s="193"/>
      <c r="C3" s="184">
        <v>1650</v>
      </c>
      <c r="D3" s="125">
        <v>232</v>
      </c>
      <c r="E3" s="126">
        <f>SUM(C3:D3)</f>
        <v>1882</v>
      </c>
      <c r="G3" s="465" t="s">
        <v>228</v>
      </c>
      <c r="H3" s="466"/>
      <c r="K3" s="186" t="s">
        <v>237</v>
      </c>
      <c r="L3" s="101">
        <v>215</v>
      </c>
    </row>
    <row r="4" spans="1:16" x14ac:dyDescent="0.25">
      <c r="A4" s="302" t="s">
        <v>227</v>
      </c>
      <c r="B4" s="194"/>
      <c r="C4" s="185">
        <v>45</v>
      </c>
      <c r="D4" s="127">
        <v>55</v>
      </c>
      <c r="E4" s="128"/>
      <c r="G4" s="186" t="s">
        <v>229</v>
      </c>
      <c r="H4" s="133" t="s">
        <v>240</v>
      </c>
      <c r="K4" s="186" t="s">
        <v>238</v>
      </c>
      <c r="L4" s="221">
        <v>0.05</v>
      </c>
    </row>
    <row r="5" spans="1:16" ht="15.75" thickBot="1" x14ac:dyDescent="0.3">
      <c r="A5" s="195" t="s">
        <v>226</v>
      </c>
      <c r="B5" s="196"/>
      <c r="C5" s="186">
        <v>2144</v>
      </c>
      <c r="D5" s="132">
        <v>2665</v>
      </c>
      <c r="E5" s="133"/>
      <c r="G5" s="186" t="s">
        <v>230</v>
      </c>
      <c r="H5" s="133">
        <v>45</v>
      </c>
      <c r="K5" s="217" t="s">
        <v>249</v>
      </c>
      <c r="L5" s="163">
        <f>L2*L4</f>
        <v>420</v>
      </c>
    </row>
    <row r="6" spans="1:16" ht="15.75" thickBot="1" x14ac:dyDescent="0.3">
      <c r="A6" s="129" t="s">
        <v>211</v>
      </c>
      <c r="B6" s="180"/>
      <c r="C6" s="187">
        <f>12*C5</f>
        <v>25728</v>
      </c>
      <c r="D6" s="130">
        <f>12*D5</f>
        <v>31980</v>
      </c>
      <c r="E6" s="128"/>
      <c r="G6" s="186" t="s">
        <v>226</v>
      </c>
      <c r="H6" s="133">
        <v>2144</v>
      </c>
      <c r="K6" s="176"/>
      <c r="L6" s="177"/>
    </row>
    <row r="7" spans="1:16" x14ac:dyDescent="0.25">
      <c r="A7" s="375" t="s">
        <v>317</v>
      </c>
      <c r="B7" s="142"/>
      <c r="C7" s="186"/>
      <c r="D7" s="132"/>
      <c r="E7" s="370">
        <v>8.6E-3</v>
      </c>
      <c r="F7" s="134"/>
      <c r="G7" s="186" t="s">
        <v>245</v>
      </c>
      <c r="H7" s="101">
        <v>2144</v>
      </c>
      <c r="K7" s="223" t="s">
        <v>243</v>
      </c>
      <c r="L7" s="155">
        <v>700</v>
      </c>
    </row>
    <row r="8" spans="1:16" ht="15.75" thickBot="1" x14ac:dyDescent="0.3">
      <c r="A8" s="375" t="s">
        <v>318</v>
      </c>
      <c r="B8" s="142"/>
      <c r="C8" s="186"/>
      <c r="D8" s="132"/>
      <c r="E8" s="221">
        <v>0.31</v>
      </c>
      <c r="F8" s="136"/>
      <c r="G8" s="160" t="s">
        <v>231</v>
      </c>
      <c r="H8" s="216">
        <f>H7/6*52</f>
        <v>18581.333333333332</v>
      </c>
      <c r="K8" s="186" t="s">
        <v>244</v>
      </c>
      <c r="L8" s="101">
        <v>8</v>
      </c>
    </row>
    <row r="9" spans="1:16" ht="15.75" thickBot="1" x14ac:dyDescent="0.3">
      <c r="A9" s="129" t="s">
        <v>224</v>
      </c>
      <c r="B9" s="180"/>
      <c r="C9" s="371">
        <f>E7*E8</f>
        <v>2.666E-3</v>
      </c>
      <c r="D9" s="372">
        <f>0.5*C9</f>
        <v>1.333E-3</v>
      </c>
      <c r="E9" s="135"/>
      <c r="G9" s="176"/>
      <c r="H9" s="177"/>
      <c r="K9" s="186" t="s">
        <v>242</v>
      </c>
      <c r="L9" s="171">
        <f>L7*L8</f>
        <v>5600</v>
      </c>
    </row>
    <row r="10" spans="1:16" x14ac:dyDescent="0.25">
      <c r="A10" s="131" t="s">
        <v>293</v>
      </c>
      <c r="B10" s="181"/>
      <c r="C10" s="188">
        <f>480*C9</f>
        <v>1.2796799999999999</v>
      </c>
      <c r="D10" s="132" t="s">
        <v>241</v>
      </c>
      <c r="E10" s="128"/>
      <c r="G10" s="465" t="s">
        <v>232</v>
      </c>
      <c r="H10" s="466"/>
      <c r="K10" s="273" t="s">
        <v>271</v>
      </c>
      <c r="L10" s="133">
        <v>4</v>
      </c>
    </row>
    <row r="11" spans="1:16" ht="15.75" thickBot="1" x14ac:dyDescent="0.3">
      <c r="A11" s="302" t="s">
        <v>234</v>
      </c>
      <c r="B11" s="194"/>
      <c r="C11" s="189">
        <f>C9*C3</f>
        <v>4.3989000000000003</v>
      </c>
      <c r="D11" s="140">
        <f>D9*D3</f>
        <v>0.30925599999999998</v>
      </c>
      <c r="E11" s="141">
        <f>SUM(C11:D11)</f>
        <v>4.7081560000000007</v>
      </c>
      <c r="G11" s="217" t="s">
        <v>233</v>
      </c>
      <c r="H11" s="103">
        <v>100000</v>
      </c>
      <c r="K11" s="186" t="s">
        <v>272</v>
      </c>
      <c r="L11" s="101">
        <f>L10*'Att E Kosten totaal (Active)'!H21</f>
        <v>2541</v>
      </c>
    </row>
    <row r="12" spans="1:16" ht="15.75" thickBot="1" x14ac:dyDescent="0.3">
      <c r="A12" s="178" t="s">
        <v>235</v>
      </c>
      <c r="B12" s="182"/>
      <c r="C12" s="367">
        <f>C11*C6</f>
        <v>113174.8992</v>
      </c>
      <c r="D12" s="368">
        <f>D11*D6</f>
        <v>9890.006879999999</v>
      </c>
      <c r="E12" s="369">
        <f>SUM(C12:D12)</f>
        <v>123064.90608</v>
      </c>
      <c r="K12" s="273" t="s">
        <v>273</v>
      </c>
      <c r="L12" s="274">
        <v>1</v>
      </c>
      <c r="O12" s="136"/>
      <c r="P12" s="136"/>
    </row>
    <row r="13" spans="1:16" ht="15.75" thickBot="1" x14ac:dyDescent="0.3">
      <c r="A13" s="143" t="s">
        <v>212</v>
      </c>
      <c r="B13" s="183"/>
      <c r="C13" s="190"/>
      <c r="D13" s="144"/>
      <c r="E13" s="145">
        <f>E12*0.8</f>
        <v>98451.924864000001</v>
      </c>
      <c r="K13" s="275" t="s">
        <v>272</v>
      </c>
      <c r="L13" s="222">
        <f>L12*'Att E Kosten totaal (Active)'!H20</f>
        <v>2299</v>
      </c>
      <c r="N13" s="117"/>
      <c r="O13" s="134"/>
      <c r="P13" s="134"/>
    </row>
    <row r="14" spans="1:16" ht="15.75" thickBot="1" x14ac:dyDescent="0.3">
      <c r="A14" s="203"/>
      <c r="K14" s="272"/>
      <c r="L14" s="147"/>
      <c r="N14" s="117"/>
      <c r="O14" s="134"/>
      <c r="P14" s="134"/>
    </row>
    <row r="15" spans="1:16" x14ac:dyDescent="0.25">
      <c r="A15" s="114" t="s">
        <v>202</v>
      </c>
      <c r="B15" s="115"/>
      <c r="C15" s="115"/>
      <c r="D15" s="137" t="s">
        <v>201</v>
      </c>
      <c r="E15" s="137"/>
      <c r="F15" s="138"/>
      <c r="G15" s="138"/>
      <c r="H15" s="139"/>
      <c r="K15" s="224" t="s">
        <v>246</v>
      </c>
      <c r="L15" s="225" t="s">
        <v>247</v>
      </c>
      <c r="N15" s="117"/>
      <c r="O15" s="134"/>
      <c r="P15" s="134"/>
    </row>
    <row r="16" spans="1:16" x14ac:dyDescent="0.25">
      <c r="A16" s="199" t="s">
        <v>203</v>
      </c>
      <c r="B16" s="200"/>
      <c r="C16" s="200"/>
      <c r="D16" s="108">
        <f>'Att E Kosten totaal (Active)'!I28*0.5/2</f>
        <v>66882.75</v>
      </c>
      <c r="E16" s="142"/>
      <c r="F16" s="201" t="s">
        <v>213</v>
      </c>
      <c r="G16" s="201"/>
      <c r="H16" s="109">
        <f>2*D16</f>
        <v>133765.5</v>
      </c>
      <c r="K16" s="186" t="s">
        <v>248</v>
      </c>
      <c r="L16" s="101">
        <v>2144</v>
      </c>
      <c r="N16" s="117"/>
      <c r="O16" s="134"/>
      <c r="P16" s="134"/>
    </row>
    <row r="17" spans="1:13" x14ac:dyDescent="0.25">
      <c r="A17" s="199" t="s">
        <v>204</v>
      </c>
      <c r="B17" s="200"/>
      <c r="C17" s="200"/>
      <c r="D17" s="108">
        <f>10000</f>
        <v>10000</v>
      </c>
      <c r="E17" s="142"/>
      <c r="F17" s="201" t="s">
        <v>216</v>
      </c>
      <c r="G17" s="201"/>
      <c r="H17" s="202"/>
      <c r="K17" s="230" t="s">
        <v>201</v>
      </c>
      <c r="L17" s="232">
        <f>8/160*2144*12</f>
        <v>1286.4000000000001</v>
      </c>
    </row>
    <row r="18" spans="1:13" ht="15.75" thickBot="1" x14ac:dyDescent="0.3">
      <c r="A18" s="197" t="s">
        <v>205</v>
      </c>
      <c r="B18" s="198"/>
      <c r="C18" s="198"/>
      <c r="D18" s="110">
        <f>'Att E Kosten totaal (Active)'!G28*24*1.21</f>
        <v>107012.4</v>
      </c>
      <c r="E18" s="146"/>
      <c r="F18" s="146"/>
      <c r="G18" s="146"/>
      <c r="H18" s="147"/>
      <c r="K18" s="217" t="s">
        <v>251</v>
      </c>
      <c r="L18" s="103">
        <f>3*(4/160)*L16</f>
        <v>160.80000000000001</v>
      </c>
    </row>
    <row r="19" spans="1:13" ht="15.75" thickBot="1" x14ac:dyDescent="0.3">
      <c r="K19" s="176"/>
      <c r="L19" s="177"/>
    </row>
    <row r="20" spans="1:13" ht="15.75" thickBot="1" x14ac:dyDescent="0.3">
      <c r="K20" s="223" t="s">
        <v>239</v>
      </c>
      <c r="L20" s="226">
        <f>L2*L3*L4-L17</f>
        <v>89013.6</v>
      </c>
    </row>
    <row r="21" spans="1:13" ht="15.75" thickBot="1" x14ac:dyDescent="0.3">
      <c r="A21" s="227" t="s">
        <v>223</v>
      </c>
      <c r="B21" s="228"/>
      <c r="C21" s="228"/>
      <c r="D21" s="228"/>
      <c r="E21" s="179"/>
      <c r="F21" s="179"/>
      <c r="G21" s="228"/>
      <c r="H21" s="228"/>
      <c r="I21" s="229"/>
      <c r="K21" s="230" t="s">
        <v>316</v>
      </c>
      <c r="L21" s="231">
        <f>0.2*L20-L17</f>
        <v>16516.32</v>
      </c>
    </row>
    <row r="22" spans="1:13" x14ac:dyDescent="0.25">
      <c r="A22" s="148"/>
      <c r="B22" s="149" t="s">
        <v>206</v>
      </c>
      <c r="C22" s="150"/>
      <c r="D22" s="151" t="s">
        <v>110</v>
      </c>
      <c r="E22" s="152" t="s">
        <v>221</v>
      </c>
      <c r="F22" s="153"/>
      <c r="G22" s="152" t="s">
        <v>218</v>
      </c>
      <c r="H22" s="154"/>
      <c r="I22" s="155"/>
      <c r="K22" s="273" t="s">
        <v>287</v>
      </c>
      <c r="L22" s="171">
        <f>L9+L11+L13+L18</f>
        <v>10600.8</v>
      </c>
    </row>
    <row r="23" spans="1:13" ht="15.75" thickBot="1" x14ac:dyDescent="0.3">
      <c r="A23" s="156"/>
      <c r="B23" s="157" t="s">
        <v>207</v>
      </c>
      <c r="C23" s="158" t="s">
        <v>199</v>
      </c>
      <c r="D23" s="159" t="s">
        <v>220</v>
      </c>
      <c r="E23" s="160" t="s">
        <v>209</v>
      </c>
      <c r="F23" s="161" t="s">
        <v>210</v>
      </c>
      <c r="G23" s="160" t="s">
        <v>217</v>
      </c>
      <c r="H23" s="162" t="s">
        <v>219</v>
      </c>
      <c r="I23" s="163" t="s">
        <v>208</v>
      </c>
      <c r="K23" s="217" t="s">
        <v>250</v>
      </c>
      <c r="L23" s="233">
        <f>(L22)/((L21/12)-(L17/12))</f>
        <v>8.3526111758958681</v>
      </c>
    </row>
    <row r="24" spans="1:13" x14ac:dyDescent="0.25">
      <c r="A24" s="204">
        <v>1</v>
      </c>
      <c r="B24" s="164">
        <f>(2/3)*E12+H8+L21+H11</f>
        <v>217140.92405333332</v>
      </c>
      <c r="C24" s="100">
        <f>0.5*E13+H8+L21</f>
        <v>84323.615765333321</v>
      </c>
      <c r="D24" s="165">
        <f>('Att E Kosten totaal (Active)'!I5)*(-1)-L22-L17</f>
        <v>-1243344.3</v>
      </c>
      <c r="E24" s="113">
        <f>B24+D24</f>
        <v>-1026203.3759466667</v>
      </c>
      <c r="F24" s="166">
        <f>C24+D24</f>
        <v>-1159020.6842346666</v>
      </c>
      <c r="G24" s="167">
        <f>E24</f>
        <v>-1026203.3759466667</v>
      </c>
      <c r="H24" s="105">
        <f>F24</f>
        <v>-1159020.6842346666</v>
      </c>
      <c r="I24" s="168">
        <f>H24/1</f>
        <v>-1159020.6842346666</v>
      </c>
    </row>
    <row r="25" spans="1:13" x14ac:dyDescent="0.25">
      <c r="A25" s="204">
        <v>2</v>
      </c>
      <c r="B25" s="164">
        <f>E12+H8+L21</f>
        <v>158162.55941333334</v>
      </c>
      <c r="C25" s="101">
        <f>E13+H8+L21</f>
        <v>133549.57819733332</v>
      </c>
      <c r="D25" s="111">
        <f>(SUM(D17:D18))*(-1)-L17</f>
        <v>-118298.79999999999</v>
      </c>
      <c r="E25" s="102">
        <f>B25+D25</f>
        <v>39863.759413333348</v>
      </c>
      <c r="F25" s="169">
        <f>C25+D25</f>
        <v>15250.778197333333</v>
      </c>
      <c r="G25" s="170">
        <f t="shared" ref="G25:H28" si="0">G24+E25</f>
        <v>-986339.61653333332</v>
      </c>
      <c r="H25" s="106">
        <f t="shared" si="0"/>
        <v>-1143769.9060373334</v>
      </c>
      <c r="I25" s="171">
        <f>H25/2</f>
        <v>-571884.95301866671</v>
      </c>
    </row>
    <row r="26" spans="1:13" x14ac:dyDescent="0.25">
      <c r="A26" s="204">
        <v>3</v>
      </c>
      <c r="B26" s="164">
        <f>E12+H8+L21</f>
        <v>158162.55941333334</v>
      </c>
      <c r="C26" s="101">
        <f>E13+H8+L21</f>
        <v>133549.57819733332</v>
      </c>
      <c r="D26" s="111">
        <f>(H16+D17+D18)*(-1)-L17</f>
        <v>-252064.3</v>
      </c>
      <c r="E26" s="102">
        <f>B26+D26</f>
        <v>-93901.740586666652</v>
      </c>
      <c r="F26" s="169">
        <f>C26+D26</f>
        <v>-118514.72180266667</v>
      </c>
      <c r="G26" s="170">
        <f t="shared" si="0"/>
        <v>-1080241.3571200001</v>
      </c>
      <c r="H26" s="106">
        <f t="shared" si="0"/>
        <v>-1262284.6278400002</v>
      </c>
      <c r="I26" s="168">
        <f>H26/3</f>
        <v>-420761.54261333338</v>
      </c>
    </row>
    <row r="27" spans="1:13" x14ac:dyDescent="0.25">
      <c r="A27" s="204">
        <v>4</v>
      </c>
      <c r="B27" s="164">
        <f>E12+H8+L21</f>
        <v>158162.55941333334</v>
      </c>
      <c r="C27" s="101">
        <f>E13+H8+L21</f>
        <v>133549.57819733332</v>
      </c>
      <c r="D27" s="111">
        <f>(SUM(D17:D18))*(-1)-L17</f>
        <v>-118298.79999999999</v>
      </c>
      <c r="E27" s="102">
        <f>B27+D27</f>
        <v>39863.759413333348</v>
      </c>
      <c r="F27" s="169">
        <f>C27+D27</f>
        <v>15250.778197333333</v>
      </c>
      <c r="G27" s="170">
        <f t="shared" si="0"/>
        <v>-1040377.5977066667</v>
      </c>
      <c r="H27" s="106">
        <f t="shared" si="0"/>
        <v>-1247033.849642667</v>
      </c>
      <c r="I27" s="171">
        <f>H27/4</f>
        <v>-311758.46241066675</v>
      </c>
    </row>
    <row r="28" spans="1:13" ht="15.75" thickBot="1" x14ac:dyDescent="0.3">
      <c r="A28" s="205">
        <v>5</v>
      </c>
      <c r="B28" s="172">
        <f>E12+H8+L21</f>
        <v>158162.55941333334</v>
      </c>
      <c r="C28" s="103">
        <f>E13+H8+L21</f>
        <v>133549.57819733332</v>
      </c>
      <c r="D28" s="112">
        <f>(H16+D17+D18)*(-1)-L17</f>
        <v>-252064.3</v>
      </c>
      <c r="E28" s="104">
        <f>B28+D28</f>
        <v>-93901.740586666652</v>
      </c>
      <c r="F28" s="173">
        <f>C28+D28</f>
        <v>-118514.72180266667</v>
      </c>
      <c r="G28" s="174">
        <f t="shared" si="0"/>
        <v>-1134279.3382933333</v>
      </c>
      <c r="H28" s="107">
        <f t="shared" si="0"/>
        <v>-1365548.5714453338</v>
      </c>
      <c r="I28" s="175">
        <f>H28/5</f>
        <v>-273109.71428906673</v>
      </c>
    </row>
    <row r="29" spans="1:13" x14ac:dyDescent="0.25">
      <c r="A29" s="176"/>
      <c r="B29" s="142"/>
      <c r="C29" s="142"/>
      <c r="D29" s="142"/>
      <c r="E29" s="142"/>
      <c r="F29" s="142"/>
      <c r="G29" s="142"/>
      <c r="H29" s="142"/>
      <c r="I29" s="177"/>
    </row>
    <row r="30" spans="1:13" ht="15.75" thickBot="1" x14ac:dyDescent="0.3">
      <c r="A30" s="218" t="s">
        <v>225</v>
      </c>
      <c r="B30" s="219">
        <f>AVERAGE(B24:B28)</f>
        <v>169958.23234133332</v>
      </c>
      <c r="C30" s="219">
        <f>AVERAGE(C24:C28)</f>
        <v>123704.38571093332</v>
      </c>
      <c r="D30" s="219">
        <f>AVERAGE(D24:D28)</f>
        <v>-396814.10000000003</v>
      </c>
      <c r="E30" s="219">
        <f>AVERAGE(E24:E28)</f>
        <v>-226855.86765866666</v>
      </c>
      <c r="F30" s="219">
        <f>AVERAGE(F24:F28)</f>
        <v>-273109.71428906673</v>
      </c>
      <c r="G30" s="146"/>
      <c r="H30" s="146"/>
      <c r="I30" s="147"/>
      <c r="M30" s="136"/>
    </row>
    <row r="32" spans="1:13" x14ac:dyDescent="0.25">
      <c r="B32" s="119" t="s">
        <v>275</v>
      </c>
      <c r="E32" s="276">
        <f>2+(H25)/(H25-H27)</f>
        <v>-9.0761788297445758</v>
      </c>
      <c r="F32" s="119" t="s">
        <v>276</v>
      </c>
    </row>
    <row r="33" spans="2:6" x14ac:dyDescent="0.25">
      <c r="B33" s="119" t="s">
        <v>253</v>
      </c>
      <c r="E33" s="276">
        <v>7.4210235160161604</v>
      </c>
      <c r="F33" s="119" t="s">
        <v>254</v>
      </c>
    </row>
  </sheetData>
  <mergeCells count="4">
    <mergeCell ref="G1:H1"/>
    <mergeCell ref="K1:L1"/>
    <mergeCell ref="G3:H3"/>
    <mergeCell ref="G10:H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5"/>
  <sheetViews>
    <sheetView workbookViewId="0">
      <selection activeCell="L19" sqref="L19"/>
    </sheetView>
  </sheetViews>
  <sheetFormatPr defaultRowHeight="15" x14ac:dyDescent="0.25"/>
  <cols>
    <col min="3" max="3" width="16" bestFit="1" customWidth="1"/>
    <col min="4" max="4" width="21" customWidth="1"/>
    <col min="5" max="5" width="20.85546875" customWidth="1"/>
    <col min="6" max="6" width="14.85546875" bestFit="1" customWidth="1"/>
    <col min="7" max="7" width="13.85546875" customWidth="1"/>
    <col min="8" max="8" width="14.140625" bestFit="1" customWidth="1"/>
    <col min="9" max="9" width="15.140625" customWidth="1"/>
    <col min="10" max="10" width="13.42578125" customWidth="1"/>
  </cols>
  <sheetData>
    <row r="1" spans="3:10" ht="15.75" thickBot="1" x14ac:dyDescent="0.3"/>
    <row r="2" spans="3:10" ht="49.5" customHeight="1" x14ac:dyDescent="0.25">
      <c r="C2" s="281" t="s">
        <v>281</v>
      </c>
      <c r="D2" s="297" t="s">
        <v>291</v>
      </c>
      <c r="E2" s="285" t="s">
        <v>292</v>
      </c>
      <c r="F2" s="292" t="s">
        <v>290</v>
      </c>
      <c r="G2" s="285" t="s">
        <v>285</v>
      </c>
      <c r="H2" s="292" t="s">
        <v>286</v>
      </c>
      <c r="I2" s="285" t="s">
        <v>283</v>
      </c>
      <c r="J2" s="286" t="s">
        <v>284</v>
      </c>
    </row>
    <row r="3" spans="3:10" x14ac:dyDescent="0.25">
      <c r="C3" s="282" t="s">
        <v>277</v>
      </c>
      <c r="D3" s="298">
        <f>'Att F Kosten &amp; Baten (Passive)'!E32</f>
        <v>11.83222797751942</v>
      </c>
      <c r="E3" s="278">
        <f>'Att F Kosten &amp; Baten (Passive)'!E33</f>
        <v>3.8968997124838101</v>
      </c>
      <c r="F3" s="278">
        <f>'Att F Kosten &amp; Baten (Passive)'!E11</f>
        <v>3.1893959999999999</v>
      </c>
      <c r="G3" s="279">
        <f>(-1)*SUM('Att F Kosten &amp; Baten (Passive)'!D24:D28)</f>
        <v>897390</v>
      </c>
      <c r="H3" s="279">
        <f>SUM('Att F Kosten &amp; Baten (Passive)'!C24:C28)</f>
        <v>446572.91074133333</v>
      </c>
      <c r="I3" s="279">
        <f>'Att F Kosten &amp; Baten (Passive)'!H28</f>
        <v>-450817.08925866673</v>
      </c>
      <c r="J3" s="287">
        <f>I3/G3</f>
        <v>-0.5023647346846597</v>
      </c>
    </row>
    <row r="4" spans="3:10" x14ac:dyDescent="0.25">
      <c r="C4" s="282" t="s">
        <v>278</v>
      </c>
      <c r="D4" s="298">
        <f>'Att G Kosten &amp; Baten (Hybrid)'!E33</f>
        <v>12.477477421494385</v>
      </c>
      <c r="E4" s="278">
        <f>'Att G Kosten &amp; Baten (Hybrid)'!E34</f>
        <v>6.50849810488881</v>
      </c>
      <c r="F4" s="278">
        <f>'Att G Kosten &amp; Baten (Hybrid)'!E11</f>
        <v>4.2525280000000008</v>
      </c>
      <c r="G4" s="279">
        <f>(-1)*SUM('Att G Kosten &amp; Baten (Hybrid)'!D25:D29)</f>
        <v>1295918.5</v>
      </c>
      <c r="H4" s="279">
        <f>SUM('Att G Kosten &amp; Baten (Hybrid)'!C25:C29)</f>
        <v>593066.10321066668</v>
      </c>
      <c r="I4" s="279">
        <f>'Att G Kosten &amp; Baten (Hybrid)'!H29</f>
        <v>-702852.39678933355</v>
      </c>
      <c r="J4" s="287">
        <f>I4/G4</f>
        <v>-0.54235848688735711</v>
      </c>
    </row>
    <row r="5" spans="3:10" ht="15.75" thickBot="1" x14ac:dyDescent="0.3">
      <c r="C5" s="283" t="s">
        <v>279</v>
      </c>
      <c r="D5" s="299">
        <f>'Att H Kosten &amp; Baten (Active)'!E33</f>
        <v>-6.701891113618295</v>
      </c>
      <c r="E5" s="289">
        <f>'Att H Kosten &amp; Baten (Active)'!E34</f>
        <v>8.0249946708121893</v>
      </c>
      <c r="F5" s="289">
        <f>'Att H Kosten &amp; Baten (Active)'!E11</f>
        <v>4.7081560000000007</v>
      </c>
      <c r="G5" s="290">
        <f>(-1)*SUM('Att H Kosten &amp; Baten (Active)'!D25:D29)</f>
        <v>1967037.6999999997</v>
      </c>
      <c r="H5" s="290">
        <f>SUM('Att H Kosten &amp; Baten (Active)'!C25:C29)</f>
        <v>535940.3285546666</v>
      </c>
      <c r="I5" s="290">
        <f>'Att H Kosten &amp; Baten (Active)'!H29</f>
        <v>-1431097.3714453336</v>
      </c>
      <c r="J5" s="291">
        <f>I5/G5</f>
        <v>-0.7275393712308279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5"/>
  <sheetViews>
    <sheetView workbookViewId="0">
      <selection activeCell="N28" sqref="N28"/>
    </sheetView>
  </sheetViews>
  <sheetFormatPr defaultRowHeight="15" x14ac:dyDescent="0.25"/>
  <cols>
    <col min="3" max="3" width="16" bestFit="1" customWidth="1"/>
    <col min="4" max="4" width="20.140625" customWidth="1"/>
    <col min="5" max="6" width="18.42578125" customWidth="1"/>
    <col min="7" max="7" width="19.85546875" customWidth="1"/>
    <col min="8" max="8" width="22.28515625" customWidth="1"/>
    <col min="9" max="9" width="16.5703125" customWidth="1"/>
    <col min="10" max="10" width="13.42578125" customWidth="1"/>
  </cols>
  <sheetData>
    <row r="1" spans="3:10" ht="15.75" thickBot="1" x14ac:dyDescent="0.3"/>
    <row r="2" spans="3:10" ht="55.5" customHeight="1" x14ac:dyDescent="0.25">
      <c r="C2" s="293" t="s">
        <v>289</v>
      </c>
      <c r="D2" s="284" t="s">
        <v>282</v>
      </c>
      <c r="E2" s="285" t="s">
        <v>280</v>
      </c>
      <c r="F2" s="292" t="s">
        <v>290</v>
      </c>
      <c r="G2" s="285" t="s">
        <v>285</v>
      </c>
      <c r="H2" s="292" t="s">
        <v>286</v>
      </c>
      <c r="I2" s="285" t="s">
        <v>283</v>
      </c>
      <c r="J2" s="286" t="s">
        <v>284</v>
      </c>
    </row>
    <row r="3" spans="3:10" x14ac:dyDescent="0.25">
      <c r="C3" s="282" t="s">
        <v>277</v>
      </c>
      <c r="D3" s="280">
        <f>'Att I (P+verspilling)'!E32</f>
        <v>8.7159552858743012</v>
      </c>
      <c r="E3" s="278">
        <f>'Att I (P+verspilling)'!E33</f>
        <v>3.3895367679299016</v>
      </c>
      <c r="F3" s="278">
        <f>'Att I (P+verspilling)'!E11</f>
        <v>3.1893959999999999</v>
      </c>
      <c r="G3" s="279">
        <f>(-1)*SUM('Att I (P+verspilling)'!D24:D28)</f>
        <v>914422.80000000016</v>
      </c>
      <c r="H3" s="279">
        <f>SUM('Att I (P+verspilling)'!C24:C28)</f>
        <v>581005.44407466671</v>
      </c>
      <c r="I3" s="279">
        <f>'Att I (P+verspilling)'!H28</f>
        <v>-333417.35592533322</v>
      </c>
      <c r="J3" s="287">
        <f>I3/G3</f>
        <v>-0.36462056274770616</v>
      </c>
    </row>
    <row r="4" spans="3:10" x14ac:dyDescent="0.25">
      <c r="C4" s="282" t="s">
        <v>288</v>
      </c>
      <c r="D4" s="280">
        <f>'Att J (H+verspilling)'!E32</f>
        <v>10.838375177568819</v>
      </c>
      <c r="E4" s="278">
        <f>'Att J (H+verspilling)'!E33</f>
        <v>5.9045269500928104</v>
      </c>
      <c r="F4" s="278">
        <f>'Att J (H+verspilling)'!E11</f>
        <v>4.2525280000000008</v>
      </c>
      <c r="G4" s="279">
        <f>(-1)*SUM('Att J (H+verspilling)'!D24:D28)</f>
        <v>1312951.2999999996</v>
      </c>
      <c r="H4" s="279">
        <f>SUM('Att J (H+verspilling)'!C24:C28)</f>
        <v>675647.70321066678</v>
      </c>
      <c r="I4" s="279">
        <f>'Att J (H+verspilling)'!H28</f>
        <v>-637303.59678933327</v>
      </c>
      <c r="J4" s="287">
        <f>I4/G4</f>
        <v>-0.48539774231483945</v>
      </c>
    </row>
    <row r="5" spans="3:10" ht="15.75" thickBot="1" x14ac:dyDescent="0.3">
      <c r="C5" s="283" t="s">
        <v>279</v>
      </c>
      <c r="D5" s="288">
        <f>'Att K (A+verspilling)'!E32</f>
        <v>-9.0761788297445758</v>
      </c>
      <c r="E5" s="289">
        <f>'Att K (A+verspilling)'!E33</f>
        <v>7.4210235160161604</v>
      </c>
      <c r="F5" s="289">
        <f>'Att K (A+verspilling)'!E11</f>
        <v>4.7081560000000007</v>
      </c>
      <c r="G5" s="290">
        <f>(-1)*SUM('Att K (A+verspilling)'!D24:D28)</f>
        <v>1984070.5000000002</v>
      </c>
      <c r="H5" s="290">
        <f>SUM('Att K (A+verspilling)'!C24:C28)</f>
        <v>618521.92855466658</v>
      </c>
      <c r="I5" s="290">
        <f>'Att K (A+verspilling)'!H28</f>
        <v>-1365548.5714453338</v>
      </c>
      <c r="J5" s="291">
        <f>I5/G5</f>
        <v>-0.6882560732823424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9"/>
  <sheetViews>
    <sheetView zoomScale="85" zoomScaleNormal="85" workbookViewId="0">
      <selection activeCell="C27" sqref="C27:C28"/>
    </sheetView>
  </sheetViews>
  <sheetFormatPr defaultRowHeight="15" x14ac:dyDescent="0.25"/>
  <cols>
    <col min="1" max="1" width="11.85546875" style="17" customWidth="1"/>
    <col min="2" max="2" width="50.85546875" style="17" bestFit="1" customWidth="1"/>
    <col min="3" max="5" width="9.140625" style="17"/>
    <col min="6" max="6" width="11.28515625" style="17" bestFit="1" customWidth="1"/>
    <col min="7" max="7" width="9.140625" style="17"/>
    <col min="8" max="8" width="10.42578125" style="17" bestFit="1" customWidth="1"/>
    <col min="9" max="16384" width="9.140625" style="17"/>
  </cols>
  <sheetData>
    <row r="1" spans="1:30" ht="15.75" thickBot="1" x14ac:dyDescent="0.3"/>
    <row r="2" spans="1:30" ht="15" customHeight="1" thickBot="1" x14ac:dyDescent="0.3">
      <c r="A2" s="31" t="s">
        <v>312</v>
      </c>
      <c r="B2" s="261" t="s">
        <v>313</v>
      </c>
      <c r="C2" s="32"/>
      <c r="D2" s="32"/>
      <c r="E2" s="32"/>
      <c r="F2" s="32"/>
      <c r="G2" s="32"/>
      <c r="H2" s="312"/>
      <c r="I2" s="354"/>
      <c r="J2" s="248"/>
      <c r="K2" s="15" t="s">
        <v>81</v>
      </c>
      <c r="L2" s="18" t="s">
        <v>83</v>
      </c>
      <c r="M2" s="18" t="s">
        <v>84</v>
      </c>
      <c r="N2" s="18" t="s">
        <v>85</v>
      </c>
      <c r="O2" s="18" t="s">
        <v>86</v>
      </c>
      <c r="P2" s="18" t="s">
        <v>87</v>
      </c>
      <c r="Q2" s="16" t="s">
        <v>88</v>
      </c>
      <c r="R2" s="323"/>
      <c r="S2" s="14"/>
      <c r="T2" s="323"/>
      <c r="U2" s="14"/>
      <c r="V2" s="323"/>
      <c r="W2" s="323"/>
      <c r="X2" s="323"/>
      <c r="Y2" s="323"/>
      <c r="Z2" s="323"/>
      <c r="AA2" s="14"/>
      <c r="AB2" s="323"/>
      <c r="AC2" s="323"/>
      <c r="AD2" s="14"/>
    </row>
    <row r="3" spans="1:30" ht="15" customHeight="1" x14ac:dyDescent="0.25">
      <c r="A3" s="457" t="s">
        <v>294</v>
      </c>
      <c r="B3" s="262"/>
      <c r="C3" s="249" t="s">
        <v>311</v>
      </c>
      <c r="D3" s="249"/>
      <c r="E3" s="249"/>
      <c r="F3" s="249"/>
      <c r="G3" s="249"/>
      <c r="H3" s="263"/>
      <c r="I3" s="263"/>
      <c r="J3" s="355"/>
      <c r="K3" s="42" t="s">
        <v>82</v>
      </c>
      <c r="L3" s="13" t="s">
        <v>82</v>
      </c>
      <c r="M3" s="234" t="s">
        <v>82</v>
      </c>
      <c r="N3" s="13" t="s">
        <v>82</v>
      </c>
      <c r="O3" s="13" t="s">
        <v>82</v>
      </c>
      <c r="P3" s="13" t="s">
        <v>82</v>
      </c>
      <c r="Q3" s="33" t="s">
        <v>82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15.75" thickBot="1" x14ac:dyDescent="0.3">
      <c r="A4" s="458"/>
      <c r="B4" s="1" t="s">
        <v>0</v>
      </c>
      <c r="C4" s="251" t="s">
        <v>264</v>
      </c>
      <c r="D4" s="251" t="s">
        <v>64</v>
      </c>
      <c r="E4" s="251" t="s">
        <v>65</v>
      </c>
      <c r="F4" s="251" t="s">
        <v>308</v>
      </c>
      <c r="G4" s="251" t="s">
        <v>309</v>
      </c>
      <c r="H4" s="264" t="s">
        <v>255</v>
      </c>
      <c r="I4" s="266" t="s">
        <v>314</v>
      </c>
      <c r="J4" s="268"/>
      <c r="K4" s="37"/>
      <c r="L4" s="235"/>
      <c r="M4" s="34"/>
      <c r="N4" s="5"/>
      <c r="O4" s="5"/>
      <c r="P4" s="5"/>
      <c r="Q4" s="3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5.75" hidden="1" customHeight="1" x14ac:dyDescent="0.3">
      <c r="A5" s="458"/>
      <c r="B5" s="2" t="s">
        <v>1</v>
      </c>
      <c r="C5" s="252">
        <f t="shared" ref="C5:C18" si="0">SUM(K5:AD5)</f>
        <v>24</v>
      </c>
      <c r="D5" s="253">
        <f t="shared" ref="D5:D18" si="1">MIN(K5:AD5)</f>
        <v>2</v>
      </c>
      <c r="E5" s="253">
        <f t="shared" ref="E5:E18" si="2">MAX(K5:AD5)</f>
        <v>6</v>
      </c>
      <c r="F5" s="254">
        <f t="shared" ref="F5:F18" si="3">AVERAGE(K5:AD5)</f>
        <v>4.8</v>
      </c>
      <c r="G5" s="253">
        <f t="shared" ref="G5:G18" si="4">MEDIAN(K5:AD5)</f>
        <v>5</v>
      </c>
      <c r="H5" s="265">
        <v>5</v>
      </c>
      <c r="I5" s="263"/>
      <c r="J5" s="355"/>
      <c r="K5" s="43">
        <v>2</v>
      </c>
      <c r="L5" s="236">
        <v>6</v>
      </c>
      <c r="M5" s="4">
        <v>5</v>
      </c>
      <c r="N5" s="6">
        <v>6</v>
      </c>
      <c r="O5" s="9">
        <v>5</v>
      </c>
      <c r="P5" s="9"/>
      <c r="Q5" s="20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5" hidden="1" customHeight="1" x14ac:dyDescent="0.3">
      <c r="A6" s="458"/>
      <c r="B6" s="2" t="s">
        <v>2</v>
      </c>
      <c r="C6" s="255">
        <f t="shared" si="0"/>
        <v>84</v>
      </c>
      <c r="D6" s="249">
        <f t="shared" si="1"/>
        <v>8</v>
      </c>
      <c r="E6" s="249">
        <f t="shared" si="2"/>
        <v>18</v>
      </c>
      <c r="F6" s="250">
        <f t="shared" si="3"/>
        <v>12</v>
      </c>
      <c r="G6" s="249">
        <f t="shared" si="4"/>
        <v>12</v>
      </c>
      <c r="H6" s="263">
        <v>8</v>
      </c>
      <c r="I6" s="263"/>
      <c r="J6" s="355"/>
      <c r="K6" s="43">
        <v>18</v>
      </c>
      <c r="L6" s="236">
        <v>15</v>
      </c>
      <c r="M6" s="4">
        <v>13</v>
      </c>
      <c r="N6" s="6">
        <v>8</v>
      </c>
      <c r="O6" s="9">
        <v>9</v>
      </c>
      <c r="P6" s="9">
        <v>9</v>
      </c>
      <c r="Q6" s="46">
        <v>12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5" hidden="1" customHeight="1" x14ac:dyDescent="0.3">
      <c r="A7" s="458"/>
      <c r="B7" s="2" t="s">
        <v>3</v>
      </c>
      <c r="C7" s="255">
        <f t="shared" si="0"/>
        <v>145</v>
      </c>
      <c r="D7" s="249">
        <f t="shared" si="1"/>
        <v>19</v>
      </c>
      <c r="E7" s="249">
        <f t="shared" si="2"/>
        <v>33</v>
      </c>
      <c r="F7" s="250">
        <f t="shared" si="3"/>
        <v>24.166666666666668</v>
      </c>
      <c r="G7" s="249">
        <f t="shared" si="4"/>
        <v>23</v>
      </c>
      <c r="H7" s="263">
        <v>6</v>
      </c>
      <c r="I7" s="263"/>
      <c r="J7" s="355"/>
      <c r="K7" s="43">
        <v>33</v>
      </c>
      <c r="L7" s="236">
        <v>22</v>
      </c>
      <c r="M7" s="4">
        <v>19</v>
      </c>
      <c r="N7" s="9">
        <v>25</v>
      </c>
      <c r="O7" s="9">
        <v>23</v>
      </c>
      <c r="P7" s="9">
        <v>23</v>
      </c>
      <c r="Q7" s="46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5" hidden="1" customHeight="1" x14ac:dyDescent="0.3">
      <c r="A8" s="458"/>
      <c r="B8" s="2" t="s">
        <v>4</v>
      </c>
      <c r="C8" s="255">
        <f t="shared" si="0"/>
        <v>37</v>
      </c>
      <c r="D8" s="249">
        <f t="shared" si="1"/>
        <v>2</v>
      </c>
      <c r="E8" s="249">
        <f t="shared" si="2"/>
        <v>8</v>
      </c>
      <c r="F8" s="250">
        <f t="shared" si="3"/>
        <v>5.2857142857142856</v>
      </c>
      <c r="G8" s="249">
        <f t="shared" si="4"/>
        <v>6</v>
      </c>
      <c r="H8" s="263">
        <v>7</v>
      </c>
      <c r="I8" s="263"/>
      <c r="J8" s="355"/>
      <c r="K8" s="43">
        <v>8</v>
      </c>
      <c r="L8" s="236">
        <v>2</v>
      </c>
      <c r="M8" s="4">
        <v>4</v>
      </c>
      <c r="N8" s="6">
        <v>6</v>
      </c>
      <c r="O8" s="9">
        <v>7</v>
      </c>
      <c r="P8" s="9">
        <v>2</v>
      </c>
      <c r="Q8" s="46">
        <f>2*4</f>
        <v>8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5" hidden="1" customHeight="1" x14ac:dyDescent="0.3">
      <c r="A9" s="458"/>
      <c r="B9" s="2" t="s">
        <v>5</v>
      </c>
      <c r="C9" s="255">
        <f t="shared" si="0"/>
        <v>39</v>
      </c>
      <c r="D9" s="249">
        <f t="shared" si="1"/>
        <v>4</v>
      </c>
      <c r="E9" s="249">
        <f t="shared" si="2"/>
        <v>9</v>
      </c>
      <c r="F9" s="250">
        <f t="shared" si="3"/>
        <v>5.5714285714285712</v>
      </c>
      <c r="G9" s="249">
        <f t="shared" si="4"/>
        <v>5</v>
      </c>
      <c r="H9" s="263">
        <v>12</v>
      </c>
      <c r="I9" s="263"/>
      <c r="J9" s="355"/>
      <c r="K9" s="43">
        <v>5</v>
      </c>
      <c r="L9" s="236">
        <v>9</v>
      </c>
      <c r="M9" s="4">
        <v>4</v>
      </c>
      <c r="N9" s="6">
        <v>7</v>
      </c>
      <c r="O9" s="9">
        <v>5</v>
      </c>
      <c r="P9" s="9">
        <v>4</v>
      </c>
      <c r="Q9" s="46">
        <v>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5" hidden="1" customHeight="1" x14ac:dyDescent="0.3">
      <c r="A10" s="458"/>
      <c r="B10" s="2" t="s">
        <v>6</v>
      </c>
      <c r="C10" s="255">
        <f t="shared" si="0"/>
        <v>43</v>
      </c>
      <c r="D10" s="249">
        <f t="shared" si="1"/>
        <v>7</v>
      </c>
      <c r="E10" s="249">
        <f t="shared" si="2"/>
        <v>14</v>
      </c>
      <c r="F10" s="250">
        <f t="shared" si="3"/>
        <v>10.75</v>
      </c>
      <c r="G10" s="249">
        <f t="shared" si="4"/>
        <v>11</v>
      </c>
      <c r="H10" s="263">
        <v>4</v>
      </c>
      <c r="I10" s="263"/>
      <c r="J10" s="355"/>
      <c r="K10" s="43">
        <v>12</v>
      </c>
      <c r="L10" s="236">
        <v>14</v>
      </c>
      <c r="M10" s="4">
        <v>10</v>
      </c>
      <c r="N10" s="6">
        <v>7</v>
      </c>
      <c r="O10" s="9"/>
      <c r="P10" s="9"/>
      <c r="Q10" s="46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5" hidden="1" customHeight="1" x14ac:dyDescent="0.3">
      <c r="A11" s="458"/>
      <c r="B11" s="2" t="s">
        <v>7</v>
      </c>
      <c r="C11" s="357">
        <f t="shared" si="0"/>
        <v>19</v>
      </c>
      <c r="D11" s="358">
        <f t="shared" si="1"/>
        <v>4</v>
      </c>
      <c r="E11" s="358">
        <f t="shared" si="2"/>
        <v>9</v>
      </c>
      <c r="F11" s="359">
        <f t="shared" si="3"/>
        <v>6.333333333333333</v>
      </c>
      <c r="G11" s="358">
        <f t="shared" si="4"/>
        <v>6</v>
      </c>
      <c r="H11" s="360">
        <v>3</v>
      </c>
      <c r="I11" s="360"/>
      <c r="J11" s="355"/>
      <c r="K11" s="43">
        <v>4</v>
      </c>
      <c r="L11" s="236">
        <v>6</v>
      </c>
      <c r="M11" s="4">
        <v>9</v>
      </c>
      <c r="N11" s="6"/>
      <c r="O11" s="9"/>
      <c r="P11" s="9"/>
      <c r="Q11" s="4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x14ac:dyDescent="0.25">
      <c r="A12" s="458"/>
      <c r="B12" s="303" t="s">
        <v>306</v>
      </c>
      <c r="C12" s="361">
        <f t="shared" si="0"/>
        <v>60</v>
      </c>
      <c r="D12" s="362">
        <f t="shared" si="1"/>
        <v>8</v>
      </c>
      <c r="E12" s="362">
        <f t="shared" si="2"/>
        <v>14</v>
      </c>
      <c r="F12" s="363">
        <f t="shared" si="3"/>
        <v>10</v>
      </c>
      <c r="G12" s="362">
        <f t="shared" si="4"/>
        <v>8.5</v>
      </c>
      <c r="H12" s="364">
        <v>6</v>
      </c>
      <c r="I12" s="365">
        <f>(K12-G12)+(N12-G12)</f>
        <v>10</v>
      </c>
      <c r="J12" s="355"/>
      <c r="K12" s="345">
        <v>14</v>
      </c>
      <c r="L12" s="236">
        <v>8</v>
      </c>
      <c r="M12" s="4">
        <v>8</v>
      </c>
      <c r="N12" s="346">
        <v>13</v>
      </c>
      <c r="O12" s="9">
        <v>9</v>
      </c>
      <c r="P12" s="9">
        <v>8</v>
      </c>
      <c r="Q12" s="46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x14ac:dyDescent="0.25">
      <c r="A13" s="458"/>
      <c r="B13" s="303" t="s">
        <v>307</v>
      </c>
      <c r="C13" s="257">
        <f t="shared" si="0"/>
        <v>67</v>
      </c>
      <c r="D13" s="304">
        <f t="shared" si="1"/>
        <v>11</v>
      </c>
      <c r="E13" s="304">
        <f t="shared" si="2"/>
        <v>18</v>
      </c>
      <c r="F13" s="305">
        <f t="shared" si="3"/>
        <v>13.4</v>
      </c>
      <c r="G13" s="304">
        <f t="shared" si="4"/>
        <v>12</v>
      </c>
      <c r="H13" s="306">
        <v>5</v>
      </c>
      <c r="I13" s="313">
        <f>L13-G13</f>
        <v>6</v>
      </c>
      <c r="J13" s="355"/>
      <c r="K13" s="43">
        <v>11</v>
      </c>
      <c r="L13" s="347">
        <v>18</v>
      </c>
      <c r="M13" s="4">
        <v>12</v>
      </c>
      <c r="N13" s="6">
        <v>11</v>
      </c>
      <c r="O13" s="348">
        <v>15</v>
      </c>
      <c r="P13" s="9"/>
      <c r="Q13" s="46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5" hidden="1" customHeight="1" x14ac:dyDescent="0.25">
      <c r="A14" s="458"/>
      <c r="B14" s="2" t="s">
        <v>10</v>
      </c>
      <c r="C14" s="255">
        <f t="shared" si="0"/>
        <v>22</v>
      </c>
      <c r="D14" s="249">
        <f t="shared" si="1"/>
        <v>10</v>
      </c>
      <c r="E14" s="249">
        <f t="shared" si="2"/>
        <v>12</v>
      </c>
      <c r="F14" s="250">
        <f t="shared" si="3"/>
        <v>11</v>
      </c>
      <c r="G14" s="249">
        <f t="shared" si="4"/>
        <v>11</v>
      </c>
      <c r="H14" s="263">
        <v>2</v>
      </c>
      <c r="I14" s="20"/>
      <c r="J14" s="355"/>
      <c r="K14" s="43">
        <v>12</v>
      </c>
      <c r="L14" s="236">
        <v>10</v>
      </c>
      <c r="M14" s="4"/>
      <c r="N14" s="6"/>
      <c r="O14" s="9"/>
      <c r="P14" s="9"/>
      <c r="Q14" s="46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5" hidden="1" customHeight="1" x14ac:dyDescent="0.25">
      <c r="A15" s="458"/>
      <c r="B15" s="2" t="s">
        <v>11</v>
      </c>
      <c r="C15" s="255">
        <f t="shared" si="0"/>
        <v>89</v>
      </c>
      <c r="D15" s="249">
        <f t="shared" si="1"/>
        <v>9</v>
      </c>
      <c r="E15" s="249">
        <f t="shared" si="2"/>
        <v>16</v>
      </c>
      <c r="F15" s="250">
        <f t="shared" si="3"/>
        <v>12.714285714285714</v>
      </c>
      <c r="G15" s="249">
        <f t="shared" si="4"/>
        <v>14</v>
      </c>
      <c r="H15" s="263">
        <v>16</v>
      </c>
      <c r="I15" s="20"/>
      <c r="J15" s="355"/>
      <c r="K15" s="43">
        <v>11</v>
      </c>
      <c r="L15" s="236">
        <v>16</v>
      </c>
      <c r="M15" s="4">
        <v>9</v>
      </c>
      <c r="N15" s="6">
        <v>9</v>
      </c>
      <c r="O15" s="9">
        <v>16</v>
      </c>
      <c r="P15" s="9">
        <v>14</v>
      </c>
      <c r="Q15" s="46">
        <v>14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5" hidden="1" customHeight="1" x14ac:dyDescent="0.25">
      <c r="A16" s="458"/>
      <c r="B16" s="2" t="s">
        <v>12</v>
      </c>
      <c r="C16" s="255">
        <f t="shared" si="0"/>
        <v>19</v>
      </c>
      <c r="D16" s="249">
        <f t="shared" si="1"/>
        <v>5</v>
      </c>
      <c r="E16" s="249">
        <f t="shared" si="2"/>
        <v>8</v>
      </c>
      <c r="F16" s="250">
        <f t="shared" si="3"/>
        <v>6.333333333333333</v>
      </c>
      <c r="G16" s="249">
        <f t="shared" si="4"/>
        <v>6</v>
      </c>
      <c r="H16" s="263">
        <v>3</v>
      </c>
      <c r="I16" s="20"/>
      <c r="J16" s="355"/>
      <c r="K16" s="43">
        <v>8</v>
      </c>
      <c r="L16" s="236">
        <v>6</v>
      </c>
      <c r="M16" s="4">
        <v>5</v>
      </c>
      <c r="N16" s="6"/>
      <c r="O16" s="9"/>
      <c r="P16" s="9"/>
      <c r="Q16" s="46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5" hidden="1" customHeight="1" x14ac:dyDescent="0.25">
      <c r="A17" s="458"/>
      <c r="B17" s="2" t="s">
        <v>13</v>
      </c>
      <c r="C17" s="255">
        <f t="shared" si="0"/>
        <v>15</v>
      </c>
      <c r="D17" s="249">
        <f t="shared" si="1"/>
        <v>15</v>
      </c>
      <c r="E17" s="249">
        <f t="shared" si="2"/>
        <v>15</v>
      </c>
      <c r="F17" s="250">
        <f t="shared" si="3"/>
        <v>15</v>
      </c>
      <c r="G17" s="249">
        <f t="shared" si="4"/>
        <v>15</v>
      </c>
      <c r="H17" s="263">
        <v>1</v>
      </c>
      <c r="I17" s="20"/>
      <c r="J17" s="355"/>
      <c r="K17" s="43">
        <v>15</v>
      </c>
      <c r="L17" s="236"/>
      <c r="M17" s="4"/>
      <c r="N17" s="6"/>
      <c r="O17" s="9"/>
      <c r="P17" s="9"/>
      <c r="Q17" s="46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5" hidden="1" customHeight="1" x14ac:dyDescent="0.25">
      <c r="A18" s="460"/>
      <c r="B18" s="39" t="s">
        <v>14</v>
      </c>
      <c r="C18" s="255">
        <f t="shared" si="0"/>
        <v>16</v>
      </c>
      <c r="D18" s="249">
        <f t="shared" si="1"/>
        <v>2</v>
      </c>
      <c r="E18" s="249">
        <f t="shared" si="2"/>
        <v>5</v>
      </c>
      <c r="F18" s="250">
        <f t="shared" si="3"/>
        <v>3.2</v>
      </c>
      <c r="G18" s="249">
        <f t="shared" si="4"/>
        <v>3</v>
      </c>
      <c r="H18" s="263">
        <v>5</v>
      </c>
      <c r="I18" s="20"/>
      <c r="J18" s="355"/>
      <c r="K18" s="43">
        <v>5</v>
      </c>
      <c r="L18" s="236">
        <v>2</v>
      </c>
      <c r="M18" s="4">
        <v>3</v>
      </c>
      <c r="N18" s="6">
        <v>3</v>
      </c>
      <c r="O18" s="9">
        <v>3</v>
      </c>
      <c r="P18" s="9"/>
      <c r="Q18" s="46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5" hidden="1" customHeight="1" x14ac:dyDescent="0.25">
      <c r="A19" s="457" t="s">
        <v>15</v>
      </c>
      <c r="B19" s="1" t="s">
        <v>15</v>
      </c>
      <c r="C19" s="256"/>
      <c r="D19" s="38"/>
      <c r="E19" s="38"/>
      <c r="F19" s="41"/>
      <c r="G19" s="38"/>
      <c r="H19" s="266"/>
      <c r="I19" s="314"/>
      <c r="J19" s="355"/>
      <c r="K19" s="37"/>
      <c r="L19" s="235"/>
      <c r="M19" s="34"/>
      <c r="N19" s="5"/>
      <c r="O19" s="10"/>
      <c r="P19" s="10"/>
      <c r="Q19" s="325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5" hidden="1" customHeight="1" x14ac:dyDescent="0.25">
      <c r="A20" s="458"/>
      <c r="B20" s="40" t="s">
        <v>16</v>
      </c>
      <c r="C20" s="255">
        <f t="shared" ref="C20:C25" si="5">SUM(K20:AD20)</f>
        <v>30</v>
      </c>
      <c r="D20" s="249">
        <f t="shared" ref="D20:D25" si="6">MIN(K20:AD20)</f>
        <v>4</v>
      </c>
      <c r="E20" s="249">
        <f t="shared" ref="E20:E25" si="7">MAX(K20:AD20)</f>
        <v>7</v>
      </c>
      <c r="F20" s="250">
        <f t="shared" ref="F20:F25" si="8">AVERAGE(K20:AD20)</f>
        <v>6</v>
      </c>
      <c r="G20" s="249">
        <f t="shared" ref="G20:G25" si="9">MEDIAN(K20:AD20)</f>
        <v>6</v>
      </c>
      <c r="H20" s="263">
        <v>5</v>
      </c>
      <c r="I20" s="20"/>
      <c r="J20" s="355"/>
      <c r="K20" s="43">
        <v>6</v>
      </c>
      <c r="L20" s="236">
        <v>4</v>
      </c>
      <c r="M20" s="4">
        <v>7</v>
      </c>
      <c r="N20" s="6">
        <v>7</v>
      </c>
      <c r="O20" s="9">
        <v>6</v>
      </c>
      <c r="P20" s="9"/>
      <c r="Q20" s="46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5" hidden="1" customHeight="1" x14ac:dyDescent="0.25">
      <c r="A21" s="458"/>
      <c r="B21" s="2" t="s">
        <v>17</v>
      </c>
      <c r="C21" s="255">
        <f t="shared" si="5"/>
        <v>25</v>
      </c>
      <c r="D21" s="249">
        <f t="shared" si="6"/>
        <v>3</v>
      </c>
      <c r="E21" s="249">
        <f t="shared" si="7"/>
        <v>5</v>
      </c>
      <c r="F21" s="250">
        <f t="shared" si="8"/>
        <v>3.5714285714285716</v>
      </c>
      <c r="G21" s="249">
        <f t="shared" si="9"/>
        <v>3</v>
      </c>
      <c r="H21" s="263">
        <v>21</v>
      </c>
      <c r="I21" s="20"/>
      <c r="J21" s="355"/>
      <c r="K21" s="43">
        <v>3</v>
      </c>
      <c r="L21" s="236">
        <v>3</v>
      </c>
      <c r="M21" s="4">
        <v>3</v>
      </c>
      <c r="N21" s="6">
        <v>3</v>
      </c>
      <c r="O21" s="9">
        <v>4</v>
      </c>
      <c r="P21" s="9">
        <v>4</v>
      </c>
      <c r="Q21" s="46">
        <v>5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5" hidden="1" customHeight="1" x14ac:dyDescent="0.25">
      <c r="A22" s="458"/>
      <c r="B22" s="2" t="s">
        <v>18</v>
      </c>
      <c r="C22" s="255">
        <f t="shared" si="5"/>
        <v>18</v>
      </c>
      <c r="D22" s="249">
        <f t="shared" si="6"/>
        <v>1</v>
      </c>
      <c r="E22" s="249">
        <f t="shared" si="7"/>
        <v>7</v>
      </c>
      <c r="F22" s="250">
        <f t="shared" si="8"/>
        <v>3</v>
      </c>
      <c r="G22" s="249">
        <f t="shared" si="9"/>
        <v>2</v>
      </c>
      <c r="H22" s="263">
        <v>6</v>
      </c>
      <c r="I22" s="20"/>
      <c r="J22" s="355"/>
      <c r="K22" s="43">
        <v>4</v>
      </c>
      <c r="L22" s="236">
        <v>2</v>
      </c>
      <c r="M22" s="4">
        <v>7</v>
      </c>
      <c r="N22" s="6">
        <v>1</v>
      </c>
      <c r="O22" s="9">
        <v>2</v>
      </c>
      <c r="P22" s="9">
        <v>2</v>
      </c>
      <c r="Q22" s="46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5" hidden="1" customHeight="1" x14ac:dyDescent="0.25">
      <c r="A23" s="458"/>
      <c r="B23" s="2" t="s">
        <v>19</v>
      </c>
      <c r="C23" s="255">
        <f t="shared" si="5"/>
        <v>16</v>
      </c>
      <c r="D23" s="249">
        <f t="shared" si="6"/>
        <v>2</v>
      </c>
      <c r="E23" s="249">
        <f t="shared" si="7"/>
        <v>3</v>
      </c>
      <c r="F23" s="250">
        <f t="shared" si="8"/>
        <v>2.2857142857142856</v>
      </c>
      <c r="G23" s="249">
        <f t="shared" si="9"/>
        <v>2</v>
      </c>
      <c r="H23" s="263">
        <v>10</v>
      </c>
      <c r="I23" s="20"/>
      <c r="J23" s="355"/>
      <c r="K23" s="43">
        <v>2</v>
      </c>
      <c r="L23" s="236">
        <v>2</v>
      </c>
      <c r="M23" s="4">
        <v>2</v>
      </c>
      <c r="N23" s="6">
        <v>2</v>
      </c>
      <c r="O23" s="9">
        <v>3</v>
      </c>
      <c r="P23" s="9">
        <v>2</v>
      </c>
      <c r="Q23" s="46">
        <v>3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5" hidden="1" customHeight="1" x14ac:dyDescent="0.25">
      <c r="A24" s="458"/>
      <c r="B24" s="2" t="s">
        <v>20</v>
      </c>
      <c r="C24" s="255">
        <f t="shared" si="5"/>
        <v>17</v>
      </c>
      <c r="D24" s="249">
        <f t="shared" si="6"/>
        <v>2</v>
      </c>
      <c r="E24" s="249">
        <f t="shared" si="7"/>
        <v>5</v>
      </c>
      <c r="F24" s="250">
        <f t="shared" si="8"/>
        <v>3.4</v>
      </c>
      <c r="G24" s="249">
        <f t="shared" si="9"/>
        <v>3</v>
      </c>
      <c r="H24" s="263">
        <v>5</v>
      </c>
      <c r="I24" s="20"/>
      <c r="J24" s="355"/>
      <c r="K24" s="43">
        <v>4</v>
      </c>
      <c r="L24" s="236">
        <v>5</v>
      </c>
      <c r="M24" s="4">
        <v>3</v>
      </c>
      <c r="N24" s="6">
        <v>3</v>
      </c>
      <c r="O24" s="9">
        <v>2</v>
      </c>
      <c r="P24" s="9"/>
      <c r="Q24" s="46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5" hidden="1" customHeight="1" x14ac:dyDescent="0.25">
      <c r="A25" s="460"/>
      <c r="B25" s="21" t="s">
        <v>21</v>
      </c>
      <c r="C25" s="255">
        <f t="shared" si="5"/>
        <v>8</v>
      </c>
      <c r="D25" s="249">
        <f t="shared" si="6"/>
        <v>2</v>
      </c>
      <c r="E25" s="249">
        <f t="shared" si="7"/>
        <v>6</v>
      </c>
      <c r="F25" s="250">
        <f t="shared" si="8"/>
        <v>4</v>
      </c>
      <c r="G25" s="249">
        <f t="shared" si="9"/>
        <v>4</v>
      </c>
      <c r="H25" s="263">
        <v>2</v>
      </c>
      <c r="I25" s="20"/>
      <c r="J25" s="355"/>
      <c r="K25" s="43">
        <v>2</v>
      </c>
      <c r="L25" s="236">
        <v>6</v>
      </c>
      <c r="M25" s="4"/>
      <c r="N25" s="6"/>
      <c r="O25" s="9"/>
      <c r="P25" s="9"/>
      <c r="Q25" s="46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5" customHeight="1" x14ac:dyDescent="0.25">
      <c r="A26" s="457" t="s">
        <v>295</v>
      </c>
      <c r="B26" s="1" t="s">
        <v>23</v>
      </c>
      <c r="C26" s="256"/>
      <c r="D26" s="38"/>
      <c r="E26" s="38"/>
      <c r="F26" s="41"/>
      <c r="G26" s="38"/>
      <c r="H26" s="266"/>
      <c r="I26" s="314"/>
      <c r="J26" s="268"/>
      <c r="K26" s="37"/>
      <c r="L26" s="235"/>
      <c r="M26" s="34"/>
      <c r="N26" s="5"/>
      <c r="O26" s="10"/>
      <c r="P26" s="10"/>
      <c r="Q26" s="325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x14ac:dyDescent="0.25">
      <c r="A27" s="458"/>
      <c r="B27" s="307" t="s">
        <v>305</v>
      </c>
      <c r="C27" s="257">
        <f>SUM(K27:AD27)</f>
        <v>39</v>
      </c>
      <c r="D27" s="304">
        <f>MIN(K27:AD27)</f>
        <v>18</v>
      </c>
      <c r="E27" s="304">
        <f>MAX(K27:AD27)</f>
        <v>21</v>
      </c>
      <c r="F27" s="305">
        <f>AVERAGE(K27:AD27)</f>
        <v>19.5</v>
      </c>
      <c r="G27" s="304">
        <f>MEDIAN(K27:AD27)</f>
        <v>19.5</v>
      </c>
      <c r="H27" s="306">
        <v>2</v>
      </c>
      <c r="I27" s="313">
        <v>0</v>
      </c>
      <c r="J27" s="355"/>
      <c r="K27" s="43">
        <v>18</v>
      </c>
      <c r="L27" s="236">
        <v>21</v>
      </c>
      <c r="M27" s="4"/>
      <c r="N27" s="6"/>
      <c r="O27" s="9"/>
      <c r="P27" s="9"/>
      <c r="Q27" s="46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x14ac:dyDescent="0.25">
      <c r="A28" s="458"/>
      <c r="B28" s="303" t="s">
        <v>304</v>
      </c>
      <c r="C28" s="257">
        <f>SUM(K28:AD28)</f>
        <v>63</v>
      </c>
      <c r="D28" s="304">
        <f>MIN(K28:AD28)</f>
        <v>30</v>
      </c>
      <c r="E28" s="304">
        <f>MAX(K28:AD28)</f>
        <v>33</v>
      </c>
      <c r="F28" s="305">
        <f>AVERAGE(K28:AD28)</f>
        <v>31.5</v>
      </c>
      <c r="G28" s="304">
        <f>MEDIAN(K28:AD28)</f>
        <v>31.5</v>
      </c>
      <c r="H28" s="306">
        <v>2</v>
      </c>
      <c r="I28" s="313">
        <v>0</v>
      </c>
      <c r="J28" s="355"/>
      <c r="K28" s="43">
        <v>33</v>
      </c>
      <c r="L28" s="236">
        <v>30</v>
      </c>
      <c r="M28" s="4"/>
      <c r="N28" s="6"/>
      <c r="O28" s="9"/>
      <c r="P28" s="9"/>
      <c r="Q28" s="46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15" hidden="1" customHeight="1" x14ac:dyDescent="0.25">
      <c r="A29" s="458"/>
      <c r="B29" s="2" t="s">
        <v>26</v>
      </c>
      <c r="C29" s="257">
        <f>SUM(K29:AD29)</f>
        <v>51</v>
      </c>
      <c r="D29" s="249">
        <f>MIN(K29:AD29)</f>
        <v>2</v>
      </c>
      <c r="E29" s="249">
        <f>MAX(K29:AD29)</f>
        <v>17</v>
      </c>
      <c r="F29" s="250">
        <f>AVERAGE(K29:AD29)</f>
        <v>7.2857142857142856</v>
      </c>
      <c r="G29" s="249">
        <f>MEDIAN(K29:AD29)</f>
        <v>3</v>
      </c>
      <c r="H29" s="263">
        <v>7</v>
      </c>
      <c r="I29" s="20"/>
      <c r="J29" s="355"/>
      <c r="K29" s="43">
        <v>12</v>
      </c>
      <c r="L29" s="237">
        <v>13</v>
      </c>
      <c r="M29" s="46">
        <v>17</v>
      </c>
      <c r="N29" s="9">
        <v>2</v>
      </c>
      <c r="O29" s="6">
        <v>2</v>
      </c>
      <c r="P29" s="6">
        <v>2</v>
      </c>
      <c r="Q29" s="4">
        <v>3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15" hidden="1" customHeight="1" x14ac:dyDescent="0.25">
      <c r="A30" s="458"/>
      <c r="B30" s="2" t="s">
        <v>27</v>
      </c>
      <c r="C30" s="257">
        <f>SUM(K30:AD30)</f>
        <v>46</v>
      </c>
      <c r="D30" s="249">
        <f>MIN(K30:AD30)</f>
        <v>2</v>
      </c>
      <c r="E30" s="249">
        <f>MAX(K30:AD30)</f>
        <v>13</v>
      </c>
      <c r="F30" s="250">
        <f>AVERAGE(K30:AD30)</f>
        <v>9.1999999999999993</v>
      </c>
      <c r="G30" s="249">
        <f>MEDIAN(K30:AD30)</f>
        <v>9</v>
      </c>
      <c r="H30" s="263">
        <v>5</v>
      </c>
      <c r="I30" s="20"/>
      <c r="J30" s="355"/>
      <c r="K30" s="43">
        <v>13</v>
      </c>
      <c r="L30" s="236">
        <v>13</v>
      </c>
      <c r="M30" s="4">
        <v>2</v>
      </c>
      <c r="N30" s="6">
        <v>9</v>
      </c>
      <c r="O30" s="9">
        <v>9</v>
      </c>
      <c r="P30" s="9"/>
      <c r="Q30" s="46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ht="15.75" hidden="1" customHeight="1" x14ac:dyDescent="0.25">
      <c r="A31" s="460"/>
      <c r="B31" s="21" t="s">
        <v>28</v>
      </c>
      <c r="C31" s="257">
        <f>SUM(K31:AD31)</f>
        <v>19</v>
      </c>
      <c r="D31" s="249">
        <f>MIN(K31:AD31)</f>
        <v>2</v>
      </c>
      <c r="E31" s="249">
        <f>MAX(K31:AD31)</f>
        <v>5</v>
      </c>
      <c r="F31" s="250">
        <f>AVERAGE(K31:AD31)</f>
        <v>3.1666666666666665</v>
      </c>
      <c r="G31" s="249">
        <f>MEDIAN(K31:AD31)</f>
        <v>3</v>
      </c>
      <c r="H31" s="263">
        <v>6</v>
      </c>
      <c r="I31" s="20"/>
      <c r="J31" s="355"/>
      <c r="K31" s="43">
        <v>3</v>
      </c>
      <c r="L31" s="236">
        <v>3</v>
      </c>
      <c r="M31" s="4">
        <v>2</v>
      </c>
      <c r="N31" s="6">
        <v>2</v>
      </c>
      <c r="O31" s="9">
        <v>4</v>
      </c>
      <c r="P31" s="9">
        <v>5</v>
      </c>
      <c r="Q31" s="46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ht="15" customHeight="1" x14ac:dyDescent="0.25">
      <c r="A32" s="457" t="s">
        <v>296</v>
      </c>
      <c r="B32" s="1" t="s">
        <v>29</v>
      </c>
      <c r="C32" s="256"/>
      <c r="D32" s="38"/>
      <c r="E32" s="38"/>
      <c r="F32" s="41"/>
      <c r="G32" s="38"/>
      <c r="H32" s="266"/>
      <c r="I32" s="314"/>
      <c r="J32" s="268"/>
      <c r="K32" s="37"/>
      <c r="L32" s="235"/>
      <c r="M32" s="34"/>
      <c r="N32" s="5"/>
      <c r="O32" s="10"/>
      <c r="P32" s="10"/>
      <c r="Q32" s="325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15" hidden="1" customHeight="1" x14ac:dyDescent="0.25">
      <c r="A33" s="458"/>
      <c r="B33" s="40" t="s">
        <v>30</v>
      </c>
      <c r="C33" s="255">
        <f t="shared" ref="C33:C59" si="10">SUM(K33:AD33)</f>
        <v>30</v>
      </c>
      <c r="D33" s="249">
        <f t="shared" ref="D33:D59" si="11">MIN(K33:AD33)</f>
        <v>3</v>
      </c>
      <c r="E33" s="249">
        <f t="shared" ref="E33:E59" si="12">MAX(K33:AD33)</f>
        <v>6</v>
      </c>
      <c r="F33" s="250">
        <f t="shared" ref="F33:F59" si="13">AVERAGE(K33:AD33)</f>
        <v>4.2857142857142856</v>
      </c>
      <c r="G33" s="249">
        <f t="shared" ref="G33:G59" si="14">MEDIAN(K33:AD33)</f>
        <v>4</v>
      </c>
      <c r="H33" s="263">
        <v>18</v>
      </c>
      <c r="I33" s="20"/>
      <c r="J33" s="355"/>
      <c r="K33" s="43">
        <v>6</v>
      </c>
      <c r="L33" s="236">
        <v>4</v>
      </c>
      <c r="M33" s="4">
        <v>3</v>
      </c>
      <c r="N33" s="9">
        <v>4</v>
      </c>
      <c r="O33" s="9">
        <v>4</v>
      </c>
      <c r="P33" s="9">
        <v>5</v>
      </c>
      <c r="Q33" s="4">
        <v>4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323"/>
      <c r="AC33" s="14"/>
      <c r="AD33" s="14"/>
    </row>
    <row r="34" spans="1:30" ht="15" hidden="1" customHeight="1" x14ac:dyDescent="0.25">
      <c r="A34" s="458"/>
      <c r="B34" s="2" t="s">
        <v>31</v>
      </c>
      <c r="C34" s="255">
        <f t="shared" si="10"/>
        <v>8</v>
      </c>
      <c r="D34" s="249">
        <f t="shared" si="11"/>
        <v>3</v>
      </c>
      <c r="E34" s="249">
        <f t="shared" si="12"/>
        <v>5</v>
      </c>
      <c r="F34" s="250">
        <f t="shared" si="13"/>
        <v>4</v>
      </c>
      <c r="G34" s="249">
        <f t="shared" si="14"/>
        <v>4</v>
      </c>
      <c r="H34" s="263">
        <v>2</v>
      </c>
      <c r="I34" s="20"/>
      <c r="J34" s="355"/>
      <c r="K34" s="43">
        <v>3</v>
      </c>
      <c r="L34" s="236">
        <v>5</v>
      </c>
      <c r="M34" s="4"/>
      <c r="N34" s="6"/>
      <c r="O34" s="9"/>
      <c r="P34" s="9"/>
      <c r="Q34" s="46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ht="15" hidden="1" customHeight="1" x14ac:dyDescent="0.25">
      <c r="A35" s="458"/>
      <c r="B35" s="2" t="s">
        <v>32</v>
      </c>
      <c r="C35" s="255">
        <f t="shared" si="10"/>
        <v>6</v>
      </c>
      <c r="D35" s="249">
        <f t="shared" si="11"/>
        <v>2</v>
      </c>
      <c r="E35" s="249">
        <f t="shared" si="12"/>
        <v>4</v>
      </c>
      <c r="F35" s="250">
        <f t="shared" si="13"/>
        <v>3</v>
      </c>
      <c r="G35" s="249">
        <f t="shared" si="14"/>
        <v>3</v>
      </c>
      <c r="H35" s="263">
        <v>2</v>
      </c>
      <c r="I35" s="20"/>
      <c r="J35" s="355"/>
      <c r="K35" s="43">
        <v>2</v>
      </c>
      <c r="L35" s="236">
        <v>4</v>
      </c>
      <c r="M35" s="4"/>
      <c r="N35" s="6"/>
      <c r="O35" s="9"/>
      <c r="P35" s="9"/>
      <c r="Q35" s="46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ht="15" hidden="1" customHeight="1" x14ac:dyDescent="0.25">
      <c r="A36" s="458"/>
      <c r="B36" s="2" t="s">
        <v>33</v>
      </c>
      <c r="C36" s="255">
        <f t="shared" si="10"/>
        <v>50</v>
      </c>
      <c r="D36" s="249">
        <f t="shared" si="11"/>
        <v>5</v>
      </c>
      <c r="E36" s="249">
        <f t="shared" si="12"/>
        <v>11</v>
      </c>
      <c r="F36" s="250">
        <f t="shared" si="13"/>
        <v>7.1428571428571432</v>
      </c>
      <c r="G36" s="249">
        <f t="shared" si="14"/>
        <v>6</v>
      </c>
      <c r="H36" s="263">
        <v>20</v>
      </c>
      <c r="I36" s="20"/>
      <c r="J36" s="355"/>
      <c r="K36" s="43">
        <v>11</v>
      </c>
      <c r="L36" s="236">
        <v>9</v>
      </c>
      <c r="M36" s="4">
        <v>5</v>
      </c>
      <c r="N36" s="6">
        <v>6</v>
      </c>
      <c r="O36" s="9">
        <v>7</v>
      </c>
      <c r="P36" s="9">
        <v>6</v>
      </c>
      <c r="Q36" s="46">
        <v>6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ht="15" hidden="1" customHeight="1" x14ac:dyDescent="0.25">
      <c r="A37" s="458"/>
      <c r="B37" s="2" t="s">
        <v>34</v>
      </c>
      <c r="C37" s="255">
        <f t="shared" si="10"/>
        <v>5</v>
      </c>
      <c r="D37" s="249">
        <f t="shared" si="11"/>
        <v>1</v>
      </c>
      <c r="E37" s="249">
        <f t="shared" si="12"/>
        <v>2</v>
      </c>
      <c r="F37" s="250">
        <f t="shared" si="13"/>
        <v>1.6666666666666667</v>
      </c>
      <c r="G37" s="249">
        <f t="shared" si="14"/>
        <v>2</v>
      </c>
      <c r="H37" s="263">
        <v>3</v>
      </c>
      <c r="I37" s="20"/>
      <c r="J37" s="355"/>
      <c r="K37" s="43">
        <v>2</v>
      </c>
      <c r="L37" s="236">
        <v>2</v>
      </c>
      <c r="M37" s="4">
        <v>1</v>
      </c>
      <c r="N37" s="6"/>
      <c r="O37" s="9"/>
      <c r="P37" s="9"/>
      <c r="Q37" s="46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ht="15" hidden="1" customHeight="1" x14ac:dyDescent="0.25">
      <c r="A38" s="458"/>
      <c r="B38" s="2" t="s">
        <v>35</v>
      </c>
      <c r="C38" s="255">
        <f t="shared" si="10"/>
        <v>12</v>
      </c>
      <c r="D38" s="249">
        <f t="shared" si="11"/>
        <v>12</v>
      </c>
      <c r="E38" s="249">
        <f t="shared" si="12"/>
        <v>12</v>
      </c>
      <c r="F38" s="250">
        <f t="shared" si="13"/>
        <v>12</v>
      </c>
      <c r="G38" s="249">
        <f t="shared" si="14"/>
        <v>12</v>
      </c>
      <c r="H38" s="263">
        <v>1</v>
      </c>
      <c r="I38" s="20"/>
      <c r="J38" s="355"/>
      <c r="K38" s="43">
        <v>12</v>
      </c>
      <c r="L38" s="236"/>
      <c r="M38" s="4"/>
      <c r="N38" s="6"/>
      <c r="O38" s="9"/>
      <c r="P38" s="9"/>
      <c r="Q38" s="46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ht="15" hidden="1" customHeight="1" x14ac:dyDescent="0.25">
      <c r="A39" s="458"/>
      <c r="B39" s="2" t="s">
        <v>36</v>
      </c>
      <c r="C39" s="255">
        <f t="shared" si="10"/>
        <v>19</v>
      </c>
      <c r="D39" s="249">
        <f t="shared" si="11"/>
        <v>2</v>
      </c>
      <c r="E39" s="249">
        <f t="shared" si="12"/>
        <v>5</v>
      </c>
      <c r="F39" s="250">
        <f t="shared" si="13"/>
        <v>2.7142857142857144</v>
      </c>
      <c r="G39" s="249">
        <f t="shared" si="14"/>
        <v>2</v>
      </c>
      <c r="H39" s="263">
        <v>7</v>
      </c>
      <c r="I39" s="20"/>
      <c r="J39" s="355"/>
      <c r="K39" s="43">
        <v>2</v>
      </c>
      <c r="L39" s="236">
        <v>3</v>
      </c>
      <c r="M39" s="4">
        <v>5</v>
      </c>
      <c r="N39" s="6">
        <v>3</v>
      </c>
      <c r="O39" s="9">
        <v>2</v>
      </c>
      <c r="P39" s="9">
        <v>2</v>
      </c>
      <c r="Q39" s="46">
        <v>2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ht="15" hidden="1" customHeight="1" x14ac:dyDescent="0.25">
      <c r="A40" s="458"/>
      <c r="B40" s="2" t="s">
        <v>37</v>
      </c>
      <c r="C40" s="255">
        <f t="shared" si="10"/>
        <v>11</v>
      </c>
      <c r="D40" s="249">
        <f t="shared" si="11"/>
        <v>4</v>
      </c>
      <c r="E40" s="249">
        <f t="shared" si="12"/>
        <v>7</v>
      </c>
      <c r="F40" s="250">
        <f t="shared" si="13"/>
        <v>5.5</v>
      </c>
      <c r="G40" s="249">
        <f t="shared" si="14"/>
        <v>5.5</v>
      </c>
      <c r="H40" s="263">
        <v>2</v>
      </c>
      <c r="I40" s="20"/>
      <c r="J40" s="355"/>
      <c r="K40" s="43">
        <v>7</v>
      </c>
      <c r="L40" s="236">
        <v>4</v>
      </c>
      <c r="M40" s="240"/>
      <c r="N40" s="6"/>
      <c r="O40" s="9"/>
      <c r="P40" s="9"/>
      <c r="Q40" s="46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ht="15" hidden="1" customHeight="1" x14ac:dyDescent="0.25">
      <c r="A41" s="458"/>
      <c r="B41" s="2" t="s">
        <v>38</v>
      </c>
      <c r="C41" s="255">
        <f t="shared" si="10"/>
        <v>13</v>
      </c>
      <c r="D41" s="249">
        <f t="shared" si="11"/>
        <v>13</v>
      </c>
      <c r="E41" s="249">
        <f t="shared" si="12"/>
        <v>13</v>
      </c>
      <c r="F41" s="250">
        <f t="shared" si="13"/>
        <v>13</v>
      </c>
      <c r="G41" s="249">
        <f t="shared" si="14"/>
        <v>13</v>
      </c>
      <c r="H41" s="263">
        <v>1</v>
      </c>
      <c r="I41" s="20"/>
      <c r="J41" s="355"/>
      <c r="K41" s="43">
        <v>13</v>
      </c>
      <c r="L41" s="236"/>
      <c r="M41" s="4"/>
      <c r="N41" s="6"/>
      <c r="O41" s="9"/>
      <c r="P41" s="9"/>
      <c r="Q41" s="46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ht="15" hidden="1" customHeight="1" x14ac:dyDescent="0.25">
      <c r="A42" s="458"/>
      <c r="B42" s="2" t="s">
        <v>39</v>
      </c>
      <c r="C42" s="255">
        <f t="shared" si="10"/>
        <v>49</v>
      </c>
      <c r="D42" s="249">
        <f t="shared" si="11"/>
        <v>2</v>
      </c>
      <c r="E42" s="249">
        <f t="shared" si="12"/>
        <v>11</v>
      </c>
      <c r="F42" s="250">
        <f t="shared" si="13"/>
        <v>7</v>
      </c>
      <c r="G42" s="249">
        <f t="shared" si="14"/>
        <v>7</v>
      </c>
      <c r="H42" s="263">
        <v>11</v>
      </c>
      <c r="I42" s="20"/>
      <c r="J42" s="355"/>
      <c r="K42" s="43">
        <v>9</v>
      </c>
      <c r="L42" s="236">
        <v>2</v>
      </c>
      <c r="M42" s="4">
        <v>3</v>
      </c>
      <c r="N42" s="6">
        <v>6</v>
      </c>
      <c r="O42" s="9">
        <v>11</v>
      </c>
      <c r="P42" s="9">
        <v>11</v>
      </c>
      <c r="Q42" s="46">
        <v>7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x14ac:dyDescent="0.25">
      <c r="A43" s="458"/>
      <c r="B43" s="303" t="s">
        <v>310</v>
      </c>
      <c r="C43" s="257">
        <f t="shared" si="10"/>
        <v>116</v>
      </c>
      <c r="D43" s="304">
        <f t="shared" si="11"/>
        <v>18</v>
      </c>
      <c r="E43" s="304">
        <f t="shared" si="12"/>
        <v>30</v>
      </c>
      <c r="F43" s="305">
        <f t="shared" si="13"/>
        <v>23.2</v>
      </c>
      <c r="G43" s="304">
        <f t="shared" si="14"/>
        <v>22</v>
      </c>
      <c r="H43" s="306">
        <v>5</v>
      </c>
      <c r="I43" s="313">
        <f>(L43-G43)+(M43-G43)</f>
        <v>12</v>
      </c>
      <c r="J43" s="355"/>
      <c r="K43" s="43">
        <v>20</v>
      </c>
      <c r="L43" s="347">
        <v>26</v>
      </c>
      <c r="M43" s="349">
        <v>30</v>
      </c>
      <c r="N43" s="6">
        <v>18</v>
      </c>
      <c r="O43" s="9">
        <v>22</v>
      </c>
      <c r="P43" s="9"/>
      <c r="Q43" s="46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ht="15" hidden="1" customHeight="1" x14ac:dyDescent="0.25">
      <c r="A44" s="458"/>
      <c r="B44" s="303" t="s">
        <v>41</v>
      </c>
      <c r="C44" s="257">
        <f t="shared" si="10"/>
        <v>18</v>
      </c>
      <c r="D44" s="304">
        <f t="shared" si="11"/>
        <v>1</v>
      </c>
      <c r="E44" s="304">
        <f t="shared" si="12"/>
        <v>4</v>
      </c>
      <c r="F44" s="305">
        <f t="shared" si="13"/>
        <v>2.5714285714285716</v>
      </c>
      <c r="G44" s="304">
        <f t="shared" si="14"/>
        <v>2</v>
      </c>
      <c r="H44" s="306">
        <v>7</v>
      </c>
      <c r="I44" s="313"/>
      <c r="J44" s="355"/>
      <c r="K44" s="43">
        <v>4</v>
      </c>
      <c r="L44" s="236">
        <v>4</v>
      </c>
      <c r="M44" s="4">
        <v>2</v>
      </c>
      <c r="N44" s="6">
        <v>2</v>
      </c>
      <c r="O44" s="9">
        <v>2</v>
      </c>
      <c r="P44" s="9">
        <v>1</v>
      </c>
      <c r="Q44" s="46">
        <v>3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t="15" hidden="1" customHeight="1" x14ac:dyDescent="0.25">
      <c r="A45" s="458"/>
      <c r="B45" s="303" t="s">
        <v>42</v>
      </c>
      <c r="C45" s="257">
        <f t="shared" si="10"/>
        <v>17</v>
      </c>
      <c r="D45" s="304">
        <f t="shared" si="11"/>
        <v>2</v>
      </c>
      <c r="E45" s="304">
        <f t="shared" si="12"/>
        <v>3</v>
      </c>
      <c r="F45" s="305">
        <f t="shared" si="13"/>
        <v>2.4285714285714284</v>
      </c>
      <c r="G45" s="304">
        <f t="shared" si="14"/>
        <v>2</v>
      </c>
      <c r="H45" s="306">
        <v>10</v>
      </c>
      <c r="I45" s="313"/>
      <c r="J45" s="355"/>
      <c r="K45" s="43">
        <v>2</v>
      </c>
      <c r="L45" s="236">
        <v>3</v>
      </c>
      <c r="M45" s="4">
        <v>2</v>
      </c>
      <c r="N45" s="6">
        <v>2</v>
      </c>
      <c r="O45" s="9">
        <v>3</v>
      </c>
      <c r="P45" s="9">
        <v>3</v>
      </c>
      <c r="Q45" s="46">
        <v>2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ht="15" hidden="1" customHeight="1" x14ac:dyDescent="0.25">
      <c r="A46" s="458"/>
      <c r="B46" s="303" t="s">
        <v>43</v>
      </c>
      <c r="C46" s="257">
        <f t="shared" si="10"/>
        <v>7</v>
      </c>
      <c r="D46" s="304">
        <f t="shared" si="11"/>
        <v>3</v>
      </c>
      <c r="E46" s="304">
        <f t="shared" si="12"/>
        <v>4</v>
      </c>
      <c r="F46" s="305">
        <f t="shared" si="13"/>
        <v>3.5</v>
      </c>
      <c r="G46" s="304">
        <f t="shared" si="14"/>
        <v>3.5</v>
      </c>
      <c r="H46" s="306">
        <v>2</v>
      </c>
      <c r="I46" s="313"/>
      <c r="J46" s="355"/>
      <c r="K46" s="43">
        <v>4</v>
      </c>
      <c r="L46" s="236">
        <v>3</v>
      </c>
      <c r="M46" s="4"/>
      <c r="N46" s="6"/>
      <c r="O46" s="9"/>
      <c r="P46" s="9"/>
      <c r="Q46" s="4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ht="15" hidden="1" customHeight="1" x14ac:dyDescent="0.25">
      <c r="A47" s="458"/>
      <c r="B47" s="303" t="s">
        <v>44</v>
      </c>
      <c r="C47" s="257">
        <f t="shared" si="10"/>
        <v>12</v>
      </c>
      <c r="D47" s="304">
        <f t="shared" si="11"/>
        <v>6</v>
      </c>
      <c r="E47" s="304">
        <f t="shared" si="12"/>
        <v>6</v>
      </c>
      <c r="F47" s="305">
        <f t="shared" si="13"/>
        <v>6</v>
      </c>
      <c r="G47" s="304">
        <f t="shared" si="14"/>
        <v>6</v>
      </c>
      <c r="H47" s="306">
        <v>2</v>
      </c>
      <c r="I47" s="313"/>
      <c r="J47" s="355"/>
      <c r="K47" s="43">
        <v>6</v>
      </c>
      <c r="L47" s="236">
        <v>6</v>
      </c>
      <c r="M47" s="4"/>
      <c r="N47" s="6"/>
      <c r="O47" s="9"/>
      <c r="P47" s="9"/>
      <c r="Q47" s="46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x14ac:dyDescent="0.25">
      <c r="A48" s="458"/>
      <c r="B48" s="303" t="s">
        <v>302</v>
      </c>
      <c r="C48" s="257">
        <f t="shared" si="10"/>
        <v>87</v>
      </c>
      <c r="D48" s="304">
        <f t="shared" si="11"/>
        <v>20</v>
      </c>
      <c r="E48" s="304">
        <f t="shared" si="12"/>
        <v>26</v>
      </c>
      <c r="F48" s="305">
        <f t="shared" si="13"/>
        <v>21.75</v>
      </c>
      <c r="G48" s="304">
        <f t="shared" si="14"/>
        <v>20.5</v>
      </c>
      <c r="H48" s="306">
        <v>4</v>
      </c>
      <c r="I48" s="313">
        <f>L48-G48</f>
        <v>5.5</v>
      </c>
      <c r="J48" s="355"/>
      <c r="K48" s="43">
        <v>20</v>
      </c>
      <c r="L48" s="347">
        <v>26</v>
      </c>
      <c r="M48" s="4">
        <v>21</v>
      </c>
      <c r="N48" s="6">
        <v>20</v>
      </c>
      <c r="O48" s="9"/>
      <c r="P48" s="9"/>
      <c r="Q48" s="4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x14ac:dyDescent="0.25">
      <c r="A49" s="458"/>
      <c r="B49" s="303" t="s">
        <v>303</v>
      </c>
      <c r="C49" s="257">
        <f t="shared" si="10"/>
        <v>27</v>
      </c>
      <c r="D49" s="304">
        <f t="shared" si="11"/>
        <v>5</v>
      </c>
      <c r="E49" s="304">
        <f t="shared" si="12"/>
        <v>9</v>
      </c>
      <c r="F49" s="305">
        <f t="shared" si="13"/>
        <v>6.75</v>
      </c>
      <c r="G49" s="304">
        <f t="shared" si="14"/>
        <v>6.5</v>
      </c>
      <c r="H49" s="306">
        <v>4</v>
      </c>
      <c r="I49" s="313">
        <f>M49-G49</f>
        <v>2.5</v>
      </c>
      <c r="J49" s="355"/>
      <c r="K49" s="43">
        <v>7</v>
      </c>
      <c r="L49" s="236">
        <v>5</v>
      </c>
      <c r="M49" s="349">
        <v>9</v>
      </c>
      <c r="N49" s="6">
        <v>6</v>
      </c>
      <c r="O49" s="9"/>
      <c r="P49" s="9"/>
      <c r="Q49" s="46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15" hidden="1" customHeight="1" x14ac:dyDescent="0.25">
      <c r="A50" s="458"/>
      <c r="B50" s="303" t="s">
        <v>47</v>
      </c>
      <c r="C50" s="257">
        <f t="shared" si="10"/>
        <v>13</v>
      </c>
      <c r="D50" s="304">
        <f t="shared" si="11"/>
        <v>2</v>
      </c>
      <c r="E50" s="304">
        <f t="shared" si="12"/>
        <v>3</v>
      </c>
      <c r="F50" s="305">
        <f t="shared" si="13"/>
        <v>2.1666666666666665</v>
      </c>
      <c r="G50" s="304">
        <f t="shared" si="14"/>
        <v>2</v>
      </c>
      <c r="H50" s="306">
        <v>6</v>
      </c>
      <c r="I50" s="313"/>
      <c r="J50" s="355"/>
      <c r="K50" s="43">
        <v>3</v>
      </c>
      <c r="L50" s="236">
        <v>2</v>
      </c>
      <c r="M50" s="4">
        <v>2</v>
      </c>
      <c r="N50" s="6">
        <v>2</v>
      </c>
      <c r="O50" s="9">
        <v>2</v>
      </c>
      <c r="P50" s="9">
        <v>2</v>
      </c>
      <c r="Q50" s="46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x14ac:dyDescent="0.25">
      <c r="A51" s="458"/>
      <c r="B51" s="303" t="s">
        <v>301</v>
      </c>
      <c r="C51" s="257">
        <f t="shared" si="10"/>
        <v>26</v>
      </c>
      <c r="D51" s="304">
        <f t="shared" si="11"/>
        <v>5</v>
      </c>
      <c r="E51" s="304">
        <f t="shared" si="12"/>
        <v>8</v>
      </c>
      <c r="F51" s="305">
        <f t="shared" si="13"/>
        <v>6.5</v>
      </c>
      <c r="G51" s="304">
        <f t="shared" si="14"/>
        <v>6.5</v>
      </c>
      <c r="H51" s="306">
        <v>4</v>
      </c>
      <c r="I51" s="313">
        <f>L51-G51</f>
        <v>1.5</v>
      </c>
      <c r="J51" s="355"/>
      <c r="K51" s="43">
        <v>6</v>
      </c>
      <c r="L51" s="347">
        <v>8</v>
      </c>
      <c r="M51" s="4">
        <v>5</v>
      </c>
      <c r="N51" s="6">
        <v>7</v>
      </c>
      <c r="O51" s="9"/>
      <c r="P51" s="9"/>
      <c r="Q51" s="46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ht="15" hidden="1" customHeight="1" x14ac:dyDescent="0.25">
      <c r="A52" s="458"/>
      <c r="B52" s="303" t="s">
        <v>49</v>
      </c>
      <c r="C52" s="257">
        <f t="shared" si="10"/>
        <v>27</v>
      </c>
      <c r="D52" s="304">
        <f t="shared" si="11"/>
        <v>12</v>
      </c>
      <c r="E52" s="304">
        <f t="shared" si="12"/>
        <v>15</v>
      </c>
      <c r="F52" s="305">
        <f t="shared" si="13"/>
        <v>13.5</v>
      </c>
      <c r="G52" s="304">
        <f t="shared" si="14"/>
        <v>13.5</v>
      </c>
      <c r="H52" s="306">
        <v>2</v>
      </c>
      <c r="I52" s="313"/>
      <c r="J52" s="355"/>
      <c r="K52" s="43">
        <v>12</v>
      </c>
      <c r="L52" s="236">
        <v>15</v>
      </c>
      <c r="M52" s="4"/>
      <c r="N52" s="6"/>
      <c r="O52" s="9"/>
      <c r="P52" s="9"/>
      <c r="Q52" s="46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ht="15" hidden="1" customHeight="1" x14ac:dyDescent="0.25">
      <c r="A53" s="458"/>
      <c r="B53" s="303" t="s">
        <v>50</v>
      </c>
      <c r="C53" s="257">
        <f t="shared" si="10"/>
        <v>18</v>
      </c>
      <c r="D53" s="304">
        <f t="shared" si="11"/>
        <v>18</v>
      </c>
      <c r="E53" s="304">
        <f t="shared" si="12"/>
        <v>18</v>
      </c>
      <c r="F53" s="305">
        <f t="shared" si="13"/>
        <v>18</v>
      </c>
      <c r="G53" s="304">
        <f t="shared" si="14"/>
        <v>18</v>
      </c>
      <c r="H53" s="306">
        <v>1</v>
      </c>
      <c r="I53" s="313"/>
      <c r="J53" s="355"/>
      <c r="K53" s="43">
        <v>18</v>
      </c>
      <c r="L53" s="236"/>
      <c r="M53" s="4"/>
      <c r="N53" s="6"/>
      <c r="O53" s="9"/>
      <c r="P53" s="9"/>
      <c r="Q53" s="46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ht="15" hidden="1" customHeight="1" x14ac:dyDescent="0.25">
      <c r="A54" s="458"/>
      <c r="B54" s="303" t="s">
        <v>51</v>
      </c>
      <c r="C54" s="257">
        <f t="shared" si="10"/>
        <v>17</v>
      </c>
      <c r="D54" s="304">
        <f t="shared" si="11"/>
        <v>2</v>
      </c>
      <c r="E54" s="304">
        <f t="shared" si="12"/>
        <v>3</v>
      </c>
      <c r="F54" s="305">
        <f t="shared" si="13"/>
        <v>2.4285714285714284</v>
      </c>
      <c r="G54" s="304">
        <f t="shared" si="14"/>
        <v>2</v>
      </c>
      <c r="H54" s="306">
        <v>8</v>
      </c>
      <c r="I54" s="313"/>
      <c r="J54" s="355"/>
      <c r="K54" s="43">
        <v>3</v>
      </c>
      <c r="L54" s="236">
        <v>2</v>
      </c>
      <c r="M54" s="4">
        <v>2</v>
      </c>
      <c r="N54" s="6">
        <v>2</v>
      </c>
      <c r="O54" s="9">
        <v>3</v>
      </c>
      <c r="P54" s="9">
        <v>3</v>
      </c>
      <c r="Q54" s="46">
        <v>2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ht="15" hidden="1" customHeight="1" x14ac:dyDescent="0.25">
      <c r="A55" s="458"/>
      <c r="B55" s="303" t="s">
        <v>52</v>
      </c>
      <c r="C55" s="257">
        <f t="shared" si="10"/>
        <v>16</v>
      </c>
      <c r="D55" s="304">
        <f t="shared" si="11"/>
        <v>2</v>
      </c>
      <c r="E55" s="304">
        <f t="shared" si="12"/>
        <v>5</v>
      </c>
      <c r="F55" s="305">
        <f t="shared" si="13"/>
        <v>3.2</v>
      </c>
      <c r="G55" s="304">
        <f t="shared" si="14"/>
        <v>3</v>
      </c>
      <c r="H55" s="306">
        <v>5</v>
      </c>
      <c r="I55" s="313"/>
      <c r="J55" s="355"/>
      <c r="K55" s="43">
        <v>3</v>
      </c>
      <c r="L55" s="236">
        <v>3</v>
      </c>
      <c r="M55" s="4">
        <v>5</v>
      </c>
      <c r="N55" s="6">
        <v>3</v>
      </c>
      <c r="O55" s="6">
        <v>2</v>
      </c>
      <c r="P55" s="9"/>
      <c r="Q55" s="46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ht="15" hidden="1" customHeight="1" x14ac:dyDescent="0.25">
      <c r="A56" s="458"/>
      <c r="B56" s="303" t="s">
        <v>53</v>
      </c>
      <c r="C56" s="257">
        <f t="shared" si="10"/>
        <v>6</v>
      </c>
      <c r="D56" s="304">
        <f t="shared" si="11"/>
        <v>1</v>
      </c>
      <c r="E56" s="304">
        <f t="shared" si="12"/>
        <v>3</v>
      </c>
      <c r="F56" s="305">
        <f t="shared" si="13"/>
        <v>1.5</v>
      </c>
      <c r="G56" s="304">
        <f t="shared" si="14"/>
        <v>1</v>
      </c>
      <c r="H56" s="306">
        <v>4</v>
      </c>
      <c r="I56" s="313"/>
      <c r="J56" s="355"/>
      <c r="K56" s="44">
        <v>1</v>
      </c>
      <c r="L56" s="238">
        <v>1</v>
      </c>
      <c r="M56" s="35">
        <v>1</v>
      </c>
      <c r="N56" s="7">
        <v>3</v>
      </c>
      <c r="O56" s="11"/>
      <c r="P56" s="11"/>
      <c r="Q56" s="326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</row>
    <row r="57" spans="1:30" ht="15" hidden="1" customHeight="1" x14ac:dyDescent="0.25">
      <c r="A57" s="458"/>
      <c r="B57" s="303" t="s">
        <v>54</v>
      </c>
      <c r="C57" s="257">
        <f t="shared" si="10"/>
        <v>7</v>
      </c>
      <c r="D57" s="304">
        <f t="shared" si="11"/>
        <v>1</v>
      </c>
      <c r="E57" s="304">
        <f t="shared" si="12"/>
        <v>6</v>
      </c>
      <c r="F57" s="305">
        <f t="shared" si="13"/>
        <v>3.5</v>
      </c>
      <c r="G57" s="304">
        <f t="shared" si="14"/>
        <v>3.5</v>
      </c>
      <c r="H57" s="306">
        <v>2</v>
      </c>
      <c r="I57" s="313"/>
      <c r="J57" s="355"/>
      <c r="K57" s="43">
        <v>1</v>
      </c>
      <c r="L57" s="236">
        <v>6</v>
      </c>
      <c r="M57" s="4"/>
      <c r="N57" s="6"/>
      <c r="O57" s="9"/>
      <c r="P57" s="9"/>
      <c r="Q57" s="46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x14ac:dyDescent="0.25">
      <c r="A58" s="458"/>
      <c r="B58" s="303" t="s">
        <v>300</v>
      </c>
      <c r="C58" s="257">
        <f t="shared" si="10"/>
        <v>29</v>
      </c>
      <c r="D58" s="304">
        <f t="shared" si="11"/>
        <v>3</v>
      </c>
      <c r="E58" s="304">
        <f t="shared" si="12"/>
        <v>6</v>
      </c>
      <c r="F58" s="305">
        <f t="shared" si="13"/>
        <v>4.1428571428571432</v>
      </c>
      <c r="G58" s="304">
        <f t="shared" si="14"/>
        <v>4</v>
      </c>
      <c r="H58" s="306">
        <v>7</v>
      </c>
      <c r="I58" s="313">
        <f>Q58-G58</f>
        <v>2</v>
      </c>
      <c r="J58" s="355"/>
      <c r="K58" s="43">
        <v>4</v>
      </c>
      <c r="L58" s="236">
        <v>3</v>
      </c>
      <c r="M58" s="4">
        <v>5</v>
      </c>
      <c r="N58" s="6">
        <v>4</v>
      </c>
      <c r="O58" s="9">
        <v>4</v>
      </c>
      <c r="P58" s="9">
        <v>3</v>
      </c>
      <c r="Q58" s="350">
        <v>6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ht="15" hidden="1" customHeight="1" x14ac:dyDescent="0.25">
      <c r="A59" s="460"/>
      <c r="B59" s="39" t="s">
        <v>56</v>
      </c>
      <c r="C59" s="255">
        <f t="shared" si="10"/>
        <v>4</v>
      </c>
      <c r="D59" s="249">
        <f t="shared" si="11"/>
        <v>2</v>
      </c>
      <c r="E59" s="249">
        <f t="shared" si="12"/>
        <v>2</v>
      </c>
      <c r="F59" s="250">
        <f t="shared" si="13"/>
        <v>2</v>
      </c>
      <c r="G59" s="249">
        <f t="shared" si="14"/>
        <v>2</v>
      </c>
      <c r="H59" s="263">
        <v>2</v>
      </c>
      <c r="I59" s="20"/>
      <c r="J59" s="355"/>
      <c r="K59" s="43">
        <v>2</v>
      </c>
      <c r="L59" s="236">
        <v>2</v>
      </c>
      <c r="M59" s="4"/>
      <c r="N59" s="6"/>
      <c r="O59" s="9"/>
      <c r="P59" s="9"/>
      <c r="Q59" s="46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15" customHeight="1" x14ac:dyDescent="0.25">
      <c r="A60" s="457" t="s">
        <v>297</v>
      </c>
      <c r="B60" s="1" t="s">
        <v>58</v>
      </c>
      <c r="C60" s="256"/>
      <c r="D60" s="38"/>
      <c r="E60" s="38"/>
      <c r="F60" s="41"/>
      <c r="G60" s="38"/>
      <c r="H60" s="266"/>
      <c r="I60" s="314"/>
      <c r="J60" s="268"/>
      <c r="K60" s="37"/>
      <c r="L60" s="235"/>
      <c r="M60" s="34"/>
      <c r="N60" s="5"/>
      <c r="O60" s="10"/>
      <c r="P60" s="10"/>
      <c r="Q60" s="325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ht="15" hidden="1" customHeight="1" x14ac:dyDescent="0.25">
      <c r="A61" s="458"/>
      <c r="B61" s="40" t="s">
        <v>252</v>
      </c>
      <c r="C61" s="255">
        <f>SUM(K61:AD61)</f>
        <v>4</v>
      </c>
      <c r="D61" s="249">
        <f>MIN(K61:AD61)</f>
        <v>4</v>
      </c>
      <c r="E61" s="249">
        <f>MAX(K61:AD61)</f>
        <v>4</v>
      </c>
      <c r="F61" s="250">
        <f>AVERAGE(K61:AD61)</f>
        <v>4</v>
      </c>
      <c r="G61" s="249">
        <f>MEDIAN(K61:AD61)</f>
        <v>4</v>
      </c>
      <c r="H61" s="263">
        <v>1</v>
      </c>
      <c r="I61" s="20"/>
      <c r="J61" s="355"/>
      <c r="K61" s="44">
        <v>4</v>
      </c>
      <c r="L61" s="238"/>
      <c r="M61" s="35"/>
      <c r="N61" s="6"/>
      <c r="O61" s="9"/>
      <c r="P61" s="9"/>
      <c r="Q61" s="46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x14ac:dyDescent="0.25">
      <c r="A62" s="458"/>
      <c r="B62" s="303" t="s">
        <v>299</v>
      </c>
      <c r="C62" s="257">
        <f>SUM(K62:AD62)</f>
        <v>21</v>
      </c>
      <c r="D62" s="304">
        <f>MIN(K62:AD62)</f>
        <v>5</v>
      </c>
      <c r="E62" s="304">
        <f>MAX(K62:AD62)</f>
        <v>10</v>
      </c>
      <c r="F62" s="305">
        <f>AVERAGE(K62:AD62)</f>
        <v>7</v>
      </c>
      <c r="G62" s="304">
        <f>MEDIAN(K62:AD62)</f>
        <v>6</v>
      </c>
      <c r="H62" s="306">
        <v>4</v>
      </c>
      <c r="I62" s="313">
        <f>L62-G62</f>
        <v>4</v>
      </c>
      <c r="J62" s="355"/>
      <c r="K62" s="44">
        <v>5</v>
      </c>
      <c r="L62" s="351">
        <v>10</v>
      </c>
      <c r="M62" s="35">
        <v>6</v>
      </c>
      <c r="N62" s="7"/>
      <c r="O62" s="11"/>
      <c r="P62" s="11"/>
      <c r="Q62" s="326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</row>
    <row r="63" spans="1:30" ht="15.75" thickBot="1" x14ac:dyDescent="0.3">
      <c r="A63" s="459"/>
      <c r="B63" s="315" t="s">
        <v>298</v>
      </c>
      <c r="C63" s="316">
        <f>SUM(K63:AD63)</f>
        <v>46</v>
      </c>
      <c r="D63" s="317">
        <f>MIN(K63:AD63)</f>
        <v>9</v>
      </c>
      <c r="E63" s="317">
        <f>MAX(K63:AD63)</f>
        <v>15</v>
      </c>
      <c r="F63" s="318">
        <f>AVERAGE(K63:AD63)</f>
        <v>11.5</v>
      </c>
      <c r="G63" s="317">
        <f>MEDIAN(K63:AD63)</f>
        <v>11</v>
      </c>
      <c r="H63" s="353">
        <v>4</v>
      </c>
      <c r="I63" s="319">
        <f>L63-G63</f>
        <v>4</v>
      </c>
      <c r="J63" s="356"/>
      <c r="K63" s="45">
        <v>10</v>
      </c>
      <c r="L63" s="352">
        <v>15</v>
      </c>
      <c r="M63" s="36">
        <v>9</v>
      </c>
      <c r="N63" s="8">
        <v>12</v>
      </c>
      <c r="O63" s="12"/>
      <c r="P63" s="12"/>
      <c r="Q63" s="327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</row>
    <row r="64" spans="1:30" ht="14.25" hidden="1" customHeight="1" x14ac:dyDescent="0.25">
      <c r="A64" s="458" t="s">
        <v>61</v>
      </c>
      <c r="B64" s="40" t="s">
        <v>62</v>
      </c>
      <c r="C64" s="308">
        <f t="shared" ref="C64:C65" si="15">SUM(J64:AD64)</f>
        <v>20</v>
      </c>
      <c r="D64" s="309">
        <f>MIN(J64:AD64)</f>
        <v>20</v>
      </c>
      <c r="E64" s="309">
        <f>MAX(J64:AD64)</f>
        <v>20</v>
      </c>
      <c r="F64" s="310">
        <f>AVERAGE(J64:AD64)</f>
        <v>20</v>
      </c>
      <c r="G64" s="309">
        <f>MEDIAN(J64:AD64)</f>
        <v>20</v>
      </c>
      <c r="H64" s="311">
        <v>1</v>
      </c>
      <c r="I64" s="240"/>
      <c r="J64" s="322">
        <v>20</v>
      </c>
      <c r="K64" s="324"/>
      <c r="L64" s="321"/>
      <c r="M64" s="320"/>
      <c r="N64" s="11"/>
      <c r="O64" s="11"/>
      <c r="P64" s="11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1"/>
      <c r="AB64" s="322"/>
      <c r="AC64" s="320"/>
      <c r="AD64" s="321"/>
    </row>
    <row r="65" spans="1:30" hidden="1" x14ac:dyDescent="0.25">
      <c r="A65" s="460"/>
      <c r="B65" s="21" t="s">
        <v>63</v>
      </c>
      <c r="C65" s="255">
        <f t="shared" si="15"/>
        <v>62</v>
      </c>
      <c r="D65" s="249">
        <f>MIN(J65:AD65)</f>
        <v>17</v>
      </c>
      <c r="E65" s="249">
        <f>MAX(J65:AD65)</f>
        <v>25</v>
      </c>
      <c r="F65" s="250">
        <f>AVERAGE(J65:AD65)</f>
        <v>20.666666666666668</v>
      </c>
      <c r="G65" s="249">
        <f>MEDIAN(J65:AD65)</f>
        <v>20</v>
      </c>
      <c r="H65" s="263">
        <v>3</v>
      </c>
      <c r="I65" s="240"/>
      <c r="J65" s="44">
        <v>17</v>
      </c>
      <c r="K65" s="238">
        <v>20</v>
      </c>
      <c r="L65" s="35">
        <v>25</v>
      </c>
      <c r="M65" s="7"/>
      <c r="N65" s="11"/>
      <c r="O65" s="11"/>
      <c r="P65" s="11"/>
      <c r="Q65" s="7"/>
      <c r="R65" s="7"/>
      <c r="S65" s="7"/>
      <c r="T65" s="7"/>
      <c r="U65" s="7"/>
      <c r="V65" s="7"/>
      <c r="W65" s="7"/>
      <c r="X65" s="7"/>
      <c r="Y65" s="7"/>
      <c r="Z65" s="7"/>
      <c r="AA65" s="35"/>
      <c r="AB65" s="44"/>
      <c r="AC65" s="7"/>
      <c r="AD65" s="35"/>
    </row>
    <row r="66" spans="1:30" ht="15.75" hidden="1" customHeight="1" x14ac:dyDescent="0.25">
      <c r="A66" s="457" t="s">
        <v>70</v>
      </c>
      <c r="B66" s="1" t="s">
        <v>71</v>
      </c>
      <c r="C66" s="256"/>
      <c r="D66" s="38"/>
      <c r="E66" s="38"/>
      <c r="F66" s="41"/>
      <c r="G66" s="38"/>
      <c r="H66" s="266"/>
      <c r="I66" s="268"/>
      <c r="J66" s="37"/>
      <c r="K66" s="235"/>
      <c r="L66" s="34"/>
      <c r="M66" s="5"/>
      <c r="N66" s="10"/>
      <c r="O66" s="10"/>
      <c r="P66" s="10"/>
      <c r="Q66" s="5"/>
      <c r="R66" s="5"/>
      <c r="S66" s="5"/>
      <c r="T66" s="5"/>
      <c r="U66" s="5"/>
      <c r="V66" s="5"/>
      <c r="W66" s="5"/>
      <c r="X66" s="5"/>
      <c r="Y66" s="5"/>
      <c r="Z66" s="5"/>
      <c r="AA66" s="34"/>
      <c r="AB66" s="37"/>
      <c r="AC66" s="5"/>
      <c r="AD66" s="34"/>
    </row>
    <row r="67" spans="1:30" hidden="1" x14ac:dyDescent="0.25">
      <c r="A67" s="458"/>
      <c r="B67" s="40" t="s">
        <v>103</v>
      </c>
      <c r="C67" s="255">
        <f>SUM(J67:AD67)</f>
        <v>71</v>
      </c>
      <c r="D67" s="249">
        <f t="shared" ref="D67:D76" si="16">MIN(J67:AD67)</f>
        <v>10</v>
      </c>
      <c r="E67" s="249">
        <f t="shared" ref="E67:E76" si="17">MAX(J67:AD67)</f>
        <v>17</v>
      </c>
      <c r="F67" s="250">
        <f t="shared" ref="F67:F76" si="18">AVERAGE(J67:AD67)</f>
        <v>14.2</v>
      </c>
      <c r="G67" s="249">
        <f t="shared" ref="G67:G76" si="19">MEDIAN(J67:AD67)</f>
        <v>15</v>
      </c>
      <c r="H67" s="263">
        <v>5</v>
      </c>
      <c r="I67" s="240"/>
      <c r="J67" s="43">
        <v>10</v>
      </c>
      <c r="K67" s="236">
        <v>15</v>
      </c>
      <c r="L67" s="4">
        <v>17</v>
      </c>
      <c r="M67" s="6">
        <v>15</v>
      </c>
      <c r="N67" s="9">
        <v>14</v>
      </c>
      <c r="O67" s="9"/>
      <c r="P67" s="9"/>
      <c r="Q67" s="6"/>
      <c r="R67" s="6"/>
      <c r="S67" s="6"/>
      <c r="T67" s="6"/>
      <c r="U67" s="6"/>
      <c r="V67" s="6"/>
      <c r="W67" s="6"/>
      <c r="X67" s="6"/>
      <c r="Y67" s="6"/>
      <c r="Z67" s="6"/>
      <c r="AA67" s="4"/>
      <c r="AB67" s="43"/>
      <c r="AC67" s="6"/>
      <c r="AD67" s="4"/>
    </row>
    <row r="68" spans="1:30" hidden="1" x14ac:dyDescent="0.25">
      <c r="A68" s="458"/>
      <c r="B68" s="2" t="s">
        <v>72</v>
      </c>
      <c r="C68" s="255">
        <f t="shared" ref="C68:C76" si="20">SUM(J68:AD68)</f>
        <v>73</v>
      </c>
      <c r="D68" s="249">
        <f t="shared" si="16"/>
        <v>1</v>
      </c>
      <c r="E68" s="249">
        <f t="shared" si="17"/>
        <v>25</v>
      </c>
      <c r="F68" s="250">
        <f t="shared" si="18"/>
        <v>8.1111111111111107</v>
      </c>
      <c r="G68" s="249">
        <f t="shared" si="19"/>
        <v>5</v>
      </c>
      <c r="H68" s="263">
        <v>9</v>
      </c>
      <c r="I68" s="240"/>
      <c r="J68" s="43">
        <v>25</v>
      </c>
      <c r="K68" s="236">
        <v>6</v>
      </c>
      <c r="L68" s="4">
        <v>9</v>
      </c>
      <c r="M68" s="6">
        <v>1</v>
      </c>
      <c r="N68" s="9">
        <v>3</v>
      </c>
      <c r="O68" s="9">
        <v>1</v>
      </c>
      <c r="P68" s="9">
        <v>20</v>
      </c>
      <c r="Q68" s="6">
        <v>3</v>
      </c>
      <c r="R68" s="6">
        <v>5</v>
      </c>
      <c r="S68" s="6"/>
      <c r="T68" s="6"/>
      <c r="U68" s="6"/>
      <c r="V68" s="6"/>
      <c r="W68" s="6"/>
      <c r="X68" s="6"/>
      <c r="Y68" s="6"/>
      <c r="Z68" s="6"/>
      <c r="AA68" s="4"/>
      <c r="AB68" s="43"/>
      <c r="AC68" s="6"/>
      <c r="AD68" s="4"/>
    </row>
    <row r="69" spans="1:30" ht="15" hidden="1" customHeight="1" x14ac:dyDescent="0.25">
      <c r="A69" s="458"/>
      <c r="B69" s="2" t="s">
        <v>73</v>
      </c>
      <c r="C69" s="255">
        <f t="shared" si="20"/>
        <v>20</v>
      </c>
      <c r="D69" s="249">
        <f t="shared" si="16"/>
        <v>1</v>
      </c>
      <c r="E69" s="249">
        <f t="shared" si="17"/>
        <v>3</v>
      </c>
      <c r="F69" s="250">
        <f t="shared" si="18"/>
        <v>2.2222222222222223</v>
      </c>
      <c r="G69" s="249">
        <f t="shared" si="19"/>
        <v>2</v>
      </c>
      <c r="H69" s="263">
        <v>9</v>
      </c>
      <c r="I69" s="240"/>
      <c r="J69" s="43">
        <v>2</v>
      </c>
      <c r="K69" s="236">
        <v>3</v>
      </c>
      <c r="L69" s="4">
        <v>2</v>
      </c>
      <c r="M69" s="6">
        <v>2</v>
      </c>
      <c r="N69" s="9">
        <v>3</v>
      </c>
      <c r="O69" s="9">
        <v>2</v>
      </c>
      <c r="P69" s="9">
        <v>1</v>
      </c>
      <c r="Q69" s="6">
        <v>2</v>
      </c>
      <c r="R69" s="6">
        <v>3</v>
      </c>
      <c r="S69" s="6"/>
      <c r="T69" s="6"/>
      <c r="U69" s="6"/>
      <c r="V69" s="6"/>
      <c r="W69" s="6"/>
      <c r="X69" s="6"/>
      <c r="Y69" s="6"/>
      <c r="Z69" s="6"/>
      <c r="AA69" s="4"/>
      <c r="AB69" s="43"/>
      <c r="AC69" s="6"/>
      <c r="AD69" s="4"/>
    </row>
    <row r="70" spans="1:30" hidden="1" x14ac:dyDescent="0.25">
      <c r="A70" s="458"/>
      <c r="B70" s="2" t="s">
        <v>74</v>
      </c>
      <c r="C70" s="255">
        <f t="shared" si="20"/>
        <v>71</v>
      </c>
      <c r="D70" s="249">
        <f t="shared" si="16"/>
        <v>2</v>
      </c>
      <c r="E70" s="249">
        <f t="shared" si="17"/>
        <v>10</v>
      </c>
      <c r="F70" s="250">
        <f t="shared" si="18"/>
        <v>4.4375</v>
      </c>
      <c r="G70" s="249">
        <f t="shared" si="19"/>
        <v>4</v>
      </c>
      <c r="H70" s="263">
        <v>16</v>
      </c>
      <c r="I70" s="240"/>
      <c r="J70" s="43">
        <v>4</v>
      </c>
      <c r="K70" s="236">
        <v>4</v>
      </c>
      <c r="L70" s="4">
        <v>10</v>
      </c>
      <c r="M70" s="6">
        <v>9</v>
      </c>
      <c r="N70" s="9">
        <v>3</v>
      </c>
      <c r="O70" s="9">
        <v>3</v>
      </c>
      <c r="P70" s="9">
        <v>6</v>
      </c>
      <c r="Q70" s="6">
        <v>6</v>
      </c>
      <c r="R70" s="6">
        <v>3</v>
      </c>
      <c r="S70" s="6">
        <v>4</v>
      </c>
      <c r="T70" s="6">
        <v>5</v>
      </c>
      <c r="U70" s="6">
        <v>2</v>
      </c>
      <c r="V70" s="6">
        <v>4</v>
      </c>
      <c r="W70" s="6">
        <v>3</v>
      </c>
      <c r="X70" s="6">
        <v>3</v>
      </c>
      <c r="Y70" s="6">
        <v>2</v>
      </c>
      <c r="Z70" s="6"/>
      <c r="AA70" s="4"/>
      <c r="AB70" s="43"/>
      <c r="AC70" s="6"/>
      <c r="AD70" s="4"/>
    </row>
    <row r="71" spans="1:30" hidden="1" x14ac:dyDescent="0.25">
      <c r="A71" s="458"/>
      <c r="B71" s="2" t="s">
        <v>75</v>
      </c>
      <c r="C71" s="255">
        <f t="shared" si="20"/>
        <v>77</v>
      </c>
      <c r="D71" s="249">
        <f t="shared" si="16"/>
        <v>4</v>
      </c>
      <c r="E71" s="249">
        <f t="shared" si="17"/>
        <v>14</v>
      </c>
      <c r="F71" s="250">
        <f t="shared" si="18"/>
        <v>7.7</v>
      </c>
      <c r="G71" s="249">
        <f t="shared" si="19"/>
        <v>6.5</v>
      </c>
      <c r="H71" s="263">
        <v>10</v>
      </c>
      <c r="I71" s="240"/>
      <c r="J71" s="43">
        <v>6</v>
      </c>
      <c r="K71" s="236">
        <v>12</v>
      </c>
      <c r="L71" s="4">
        <v>14</v>
      </c>
      <c r="M71" s="6">
        <v>11</v>
      </c>
      <c r="N71" s="9">
        <v>7</v>
      </c>
      <c r="O71" s="9">
        <v>9</v>
      </c>
      <c r="P71" s="9">
        <v>6</v>
      </c>
      <c r="Q71" s="6">
        <v>4</v>
      </c>
      <c r="R71" s="6">
        <v>4</v>
      </c>
      <c r="S71" s="6">
        <v>4</v>
      </c>
      <c r="T71" s="6"/>
      <c r="U71" s="6"/>
      <c r="V71" s="6"/>
      <c r="W71" s="6"/>
      <c r="X71" s="6"/>
      <c r="Y71" s="6"/>
      <c r="Z71" s="6"/>
      <c r="AA71" s="4"/>
      <c r="AB71" s="43"/>
      <c r="AC71" s="6"/>
      <c r="AD71" s="4"/>
    </row>
    <row r="72" spans="1:30" hidden="1" x14ac:dyDescent="0.25">
      <c r="A72" s="458"/>
      <c r="B72" s="2" t="s">
        <v>76</v>
      </c>
      <c r="C72" s="255">
        <f t="shared" si="20"/>
        <v>4</v>
      </c>
      <c r="D72" s="249">
        <f t="shared" si="16"/>
        <v>1</v>
      </c>
      <c r="E72" s="249">
        <f t="shared" si="17"/>
        <v>3</v>
      </c>
      <c r="F72" s="250">
        <f t="shared" si="18"/>
        <v>2</v>
      </c>
      <c r="G72" s="249">
        <f t="shared" si="19"/>
        <v>2</v>
      </c>
      <c r="H72" s="263">
        <v>2</v>
      </c>
      <c r="I72" s="240"/>
      <c r="J72" s="43">
        <v>3</v>
      </c>
      <c r="K72" s="236">
        <v>1</v>
      </c>
      <c r="L72" s="4"/>
      <c r="M72" s="6"/>
      <c r="N72" s="9"/>
      <c r="O72" s="9"/>
      <c r="P72" s="9"/>
      <c r="Q72" s="6"/>
      <c r="R72" s="6"/>
      <c r="S72" s="6"/>
      <c r="T72" s="6"/>
      <c r="U72" s="6"/>
      <c r="V72" s="6"/>
      <c r="W72" s="6"/>
      <c r="X72" s="6"/>
      <c r="Y72" s="6"/>
      <c r="Z72" s="6"/>
      <c r="AA72" s="4"/>
      <c r="AB72" s="43"/>
      <c r="AC72" s="6"/>
      <c r="AD72" s="4"/>
    </row>
    <row r="73" spans="1:30" ht="14.25" hidden="1" customHeight="1" x14ac:dyDescent="0.25">
      <c r="A73" s="458"/>
      <c r="B73" s="2" t="s">
        <v>77</v>
      </c>
      <c r="C73" s="255">
        <f t="shared" si="20"/>
        <v>31</v>
      </c>
      <c r="D73" s="249">
        <f t="shared" si="16"/>
        <v>1</v>
      </c>
      <c r="E73" s="249">
        <f t="shared" si="17"/>
        <v>4</v>
      </c>
      <c r="F73" s="250">
        <f t="shared" si="18"/>
        <v>1.7222222222222223</v>
      </c>
      <c r="G73" s="249">
        <f t="shared" si="19"/>
        <v>2</v>
      </c>
      <c r="H73" s="263">
        <v>18</v>
      </c>
      <c r="I73" s="240"/>
      <c r="J73" s="43">
        <v>2</v>
      </c>
      <c r="K73" s="236">
        <v>1</v>
      </c>
      <c r="L73" s="4">
        <v>1</v>
      </c>
      <c r="M73" s="6">
        <v>3</v>
      </c>
      <c r="N73" s="9">
        <v>2</v>
      </c>
      <c r="O73" s="9">
        <v>2</v>
      </c>
      <c r="P73" s="9">
        <v>1</v>
      </c>
      <c r="Q73" s="6">
        <v>2</v>
      </c>
      <c r="R73" s="6">
        <v>2</v>
      </c>
      <c r="S73" s="6">
        <v>1</v>
      </c>
      <c r="T73" s="6">
        <v>4</v>
      </c>
      <c r="U73" s="6">
        <v>1</v>
      </c>
      <c r="V73" s="6">
        <v>1</v>
      </c>
      <c r="W73" s="6">
        <v>2</v>
      </c>
      <c r="X73" s="6">
        <v>1</v>
      </c>
      <c r="Y73" s="6">
        <v>2</v>
      </c>
      <c r="Z73" s="6">
        <v>1</v>
      </c>
      <c r="AA73" s="4">
        <v>2</v>
      </c>
      <c r="AB73" s="43"/>
      <c r="AC73" s="6"/>
      <c r="AD73" s="4"/>
    </row>
    <row r="74" spans="1:30" hidden="1" x14ac:dyDescent="0.25">
      <c r="A74" s="458"/>
      <c r="B74" s="2" t="s">
        <v>78</v>
      </c>
      <c r="C74" s="255">
        <f t="shared" si="20"/>
        <v>22</v>
      </c>
      <c r="D74" s="249">
        <f t="shared" si="16"/>
        <v>2</v>
      </c>
      <c r="E74" s="249">
        <f t="shared" si="17"/>
        <v>12</v>
      </c>
      <c r="F74" s="250">
        <f t="shared" si="18"/>
        <v>7.333333333333333</v>
      </c>
      <c r="G74" s="249">
        <f t="shared" si="19"/>
        <v>8</v>
      </c>
      <c r="H74" s="263">
        <v>3</v>
      </c>
      <c r="I74" s="240"/>
      <c r="J74" s="43">
        <v>12</v>
      </c>
      <c r="K74" s="236">
        <v>2</v>
      </c>
      <c r="L74" s="4">
        <v>8</v>
      </c>
      <c r="M74" s="6"/>
      <c r="N74" s="9"/>
      <c r="O74" s="9"/>
      <c r="P74" s="9"/>
      <c r="Q74" s="6"/>
      <c r="R74" s="6"/>
      <c r="S74" s="6"/>
      <c r="T74" s="6"/>
      <c r="U74" s="6"/>
      <c r="V74" s="6"/>
      <c r="W74" s="6"/>
      <c r="X74" s="6"/>
      <c r="Y74" s="6"/>
      <c r="Z74" s="6"/>
      <c r="AA74" s="4"/>
      <c r="AB74" s="43"/>
      <c r="AC74" s="6"/>
      <c r="AD74" s="4"/>
    </row>
    <row r="75" spans="1:30" ht="15.75" hidden="1" customHeight="1" x14ac:dyDescent="0.25">
      <c r="A75" s="458"/>
      <c r="B75" s="2" t="s">
        <v>79</v>
      </c>
      <c r="C75" s="255">
        <f t="shared" si="20"/>
        <v>5</v>
      </c>
      <c r="D75" s="249">
        <f t="shared" si="16"/>
        <v>5</v>
      </c>
      <c r="E75" s="249">
        <f t="shared" si="17"/>
        <v>5</v>
      </c>
      <c r="F75" s="250">
        <f t="shared" si="18"/>
        <v>5</v>
      </c>
      <c r="G75" s="249">
        <f t="shared" si="19"/>
        <v>5</v>
      </c>
      <c r="H75" s="263">
        <v>1</v>
      </c>
      <c r="I75" s="240"/>
      <c r="J75" s="44">
        <v>5</v>
      </c>
      <c r="K75" s="238"/>
      <c r="L75" s="35"/>
      <c r="M75" s="7"/>
      <c r="N75" s="11"/>
      <c r="O75" s="11"/>
      <c r="P75" s="11"/>
      <c r="Q75" s="7"/>
      <c r="R75" s="7"/>
      <c r="S75" s="7"/>
      <c r="T75" s="7"/>
      <c r="U75" s="7"/>
      <c r="V75" s="7"/>
      <c r="W75" s="7"/>
      <c r="X75" s="7"/>
      <c r="Y75" s="7"/>
      <c r="Z75" s="7"/>
      <c r="AA75" s="35"/>
      <c r="AB75" s="44"/>
      <c r="AC75" s="7"/>
      <c r="AD75" s="35"/>
    </row>
    <row r="76" spans="1:30" ht="15.75" hidden="1" thickBot="1" x14ac:dyDescent="0.3">
      <c r="A76" s="459"/>
      <c r="B76" s="3" t="s">
        <v>80</v>
      </c>
      <c r="C76" s="258">
        <f t="shared" si="20"/>
        <v>20</v>
      </c>
      <c r="D76" s="259">
        <f t="shared" si="16"/>
        <v>1</v>
      </c>
      <c r="E76" s="259">
        <f t="shared" si="17"/>
        <v>8</v>
      </c>
      <c r="F76" s="260">
        <f t="shared" si="18"/>
        <v>2.5</v>
      </c>
      <c r="G76" s="259">
        <f t="shared" si="19"/>
        <v>2</v>
      </c>
      <c r="H76" s="267">
        <v>8</v>
      </c>
      <c r="I76" s="269"/>
      <c r="J76" s="45">
        <v>1</v>
      </c>
      <c r="K76" s="239">
        <v>2</v>
      </c>
      <c r="L76" s="36">
        <v>1</v>
      </c>
      <c r="M76" s="8">
        <v>2</v>
      </c>
      <c r="N76" s="12">
        <v>1</v>
      </c>
      <c r="O76" s="12">
        <v>8</v>
      </c>
      <c r="P76" s="12">
        <v>3</v>
      </c>
      <c r="Q76" s="8">
        <v>2</v>
      </c>
      <c r="R76" s="8"/>
      <c r="S76" s="8"/>
      <c r="T76" s="8"/>
      <c r="U76" s="8"/>
      <c r="V76" s="8"/>
      <c r="W76" s="8"/>
      <c r="X76" s="8"/>
      <c r="Y76" s="8"/>
      <c r="Z76" s="8"/>
      <c r="AA76" s="36"/>
      <c r="AB76" s="45"/>
      <c r="AC76" s="8"/>
      <c r="AD76" s="36"/>
    </row>
    <row r="77" spans="1:30" ht="15" customHeight="1" x14ac:dyDescent="0.25">
      <c r="B77" s="17" t="s">
        <v>315</v>
      </c>
      <c r="C77" s="24">
        <f>SUM(C12+C13+C27+C28+C43+C48+C49+C51+C58+C62+C63)</f>
        <v>581</v>
      </c>
      <c r="D77" s="24"/>
      <c r="I77" s="17">
        <f>SUM(I12:I63)</f>
        <v>47.5</v>
      </c>
    </row>
    <row r="82" spans="1:29" ht="15" customHeight="1" x14ac:dyDescent="0.25"/>
    <row r="84" spans="1:29" x14ac:dyDescent="0.25">
      <c r="C84" s="17">
        <v>240</v>
      </c>
    </row>
    <row r="85" spans="1:29" x14ac:dyDescent="0.25">
      <c r="C85" s="17">
        <v>2290</v>
      </c>
    </row>
    <row r="86" spans="1:29" x14ac:dyDescent="0.25">
      <c r="A86" s="22"/>
      <c r="B86" s="23"/>
      <c r="C86" s="24"/>
      <c r="D86" s="24"/>
      <c r="E86" s="24"/>
      <c r="F86" s="25"/>
      <c r="G86" s="24"/>
      <c r="H86" s="24"/>
      <c r="I86" s="14"/>
      <c r="J86" s="14"/>
      <c r="K86" s="14"/>
      <c r="L86" s="14"/>
      <c r="M86" s="26"/>
      <c r="N86" s="26"/>
      <c r="O86" s="26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ht="15" customHeight="1" x14ac:dyDescent="0.25">
      <c r="A87" s="24"/>
      <c r="B87" s="24"/>
      <c r="C87" s="24"/>
      <c r="D87" s="24"/>
      <c r="E87" s="24">
        <f>(C84/C85)*(I77/C77)</f>
        <v>8.5682718396981571E-3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 spans="1:29" ht="15" customHeight="1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pans="1:29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 spans="1:29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 spans="1:29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 spans="1:29" ht="15" customHeight="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 spans="1:29" x14ac:dyDescent="0.25">
      <c r="A93" s="27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8"/>
      <c r="M93" s="29"/>
      <c r="N93" s="29"/>
      <c r="O93" s="29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x14ac:dyDescent="0.25">
      <c r="A94" s="27"/>
      <c r="B94" s="23"/>
      <c r="C94" s="24"/>
      <c r="D94" s="24"/>
      <c r="E94" s="24"/>
      <c r="F94" s="25"/>
      <c r="G94" s="24"/>
      <c r="H94" s="24"/>
      <c r="I94" s="24"/>
      <c r="J94" s="28"/>
      <c r="K94" s="28"/>
      <c r="L94" s="28"/>
      <c r="M94" s="29"/>
      <c r="N94" s="29"/>
      <c r="O94" s="29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spans="1:29" x14ac:dyDescent="0.25">
      <c r="A95" s="27"/>
      <c r="B95" s="30"/>
      <c r="C95" s="24"/>
      <c r="D95" s="24"/>
      <c r="E95" s="24"/>
      <c r="F95" s="25"/>
      <c r="G95" s="24"/>
      <c r="H95" s="24"/>
      <c r="I95" s="24"/>
      <c r="J95" s="28"/>
      <c r="K95" s="28"/>
      <c r="L95" s="28"/>
      <c r="M95" s="29"/>
      <c r="N95" s="29"/>
      <c r="O95" s="29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5" customHeight="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 spans="1:29" x14ac:dyDescent="0.25">
      <c r="A97" s="27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 spans="1:29" x14ac:dyDescent="0.25">
      <c r="A98" s="27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 spans="1:29" x14ac:dyDescent="0.25">
      <c r="A99" s="27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 spans="1:29" x14ac:dyDescent="0.25">
      <c r="A100" s="27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 spans="1:29" x14ac:dyDescent="0.25">
      <c r="A101" s="27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 spans="1:29" x14ac:dyDescent="0.25">
      <c r="A102" s="27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 spans="1:29" x14ac:dyDescent="0.25">
      <c r="A103" s="27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 spans="1:29" ht="15" customHeight="1" x14ac:dyDescent="0.25">
      <c r="A104" s="27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 spans="1:29" x14ac:dyDescent="0.25">
      <c r="A105" s="27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 spans="1:29" x14ac:dyDescent="0.25">
      <c r="A106" s="27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 spans="1:29" x14ac:dyDescent="0.25">
      <c r="A107" s="27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 spans="1:29" x14ac:dyDescent="0.25">
      <c r="A108" s="27"/>
      <c r="B108" s="30"/>
      <c r="C108" s="24"/>
      <c r="D108" s="24"/>
      <c r="E108" s="24"/>
      <c r="F108" s="25"/>
      <c r="G108" s="24"/>
      <c r="H108" s="24"/>
      <c r="I108" s="28"/>
      <c r="J108" s="28"/>
      <c r="K108" s="28"/>
      <c r="L108" s="28"/>
      <c r="M108" s="29"/>
      <c r="N108" s="29"/>
      <c r="O108" s="29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1:29" x14ac:dyDescent="0.25">
      <c r="A109" s="27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 spans="1:29" x14ac:dyDescent="0.25">
      <c r="A110" s="27"/>
      <c r="B110" s="30"/>
      <c r="C110" s="24"/>
      <c r="D110" s="24"/>
      <c r="E110" s="24"/>
      <c r="F110" s="25"/>
      <c r="G110" s="24"/>
      <c r="H110" s="24"/>
      <c r="I110" s="28"/>
      <c r="J110" s="28"/>
      <c r="K110" s="28"/>
      <c r="L110" s="28"/>
      <c r="M110" s="29"/>
      <c r="N110" s="29"/>
      <c r="O110" s="29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spans="1:29" ht="15" customHeight="1" x14ac:dyDescent="0.25">
      <c r="A111" s="27"/>
      <c r="B111" s="30"/>
      <c r="C111" s="24"/>
      <c r="D111" s="24"/>
      <c r="E111" s="24"/>
      <c r="F111" s="25"/>
      <c r="G111" s="24"/>
      <c r="H111" s="24"/>
      <c r="I111" s="28"/>
      <c r="J111" s="28"/>
      <c r="K111" s="28"/>
      <c r="L111" s="28"/>
      <c r="M111" s="29"/>
      <c r="N111" s="29"/>
      <c r="O111" s="29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spans="1:29" x14ac:dyDescent="0.25">
      <c r="A112" s="27"/>
      <c r="B112" s="30"/>
      <c r="C112" s="24"/>
      <c r="D112" s="24"/>
      <c r="E112" s="24"/>
      <c r="F112" s="25"/>
      <c r="G112" s="24"/>
      <c r="H112" s="24"/>
      <c r="I112" s="28"/>
      <c r="J112" s="28"/>
      <c r="K112" s="28"/>
      <c r="L112" s="28"/>
      <c r="M112" s="29"/>
      <c r="N112" s="29"/>
      <c r="O112" s="29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 spans="1:6" x14ac:dyDescent="0.25">
      <c r="A113" s="27"/>
    </row>
    <row r="119" spans="1:6" ht="15" customHeight="1" x14ac:dyDescent="0.25"/>
    <row r="124" spans="1:6" x14ac:dyDescent="0.25">
      <c r="F124" s="19"/>
    </row>
    <row r="129" ht="15" customHeight="1" x14ac:dyDescent="0.25"/>
  </sheetData>
  <mergeCells count="7">
    <mergeCell ref="A60:A63"/>
    <mergeCell ref="A64:A65"/>
    <mergeCell ref="A66:A76"/>
    <mergeCell ref="A3:A18"/>
    <mergeCell ref="A19:A25"/>
    <mergeCell ref="A26:A31"/>
    <mergeCell ref="A32:A5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80" zoomScaleNormal="80" workbookViewId="0">
      <selection activeCell="J36" sqref="J36"/>
    </sheetView>
  </sheetViews>
  <sheetFormatPr defaultRowHeight="15.75" x14ac:dyDescent="0.25"/>
  <cols>
    <col min="1" max="1" width="10.7109375" style="50" customWidth="1"/>
    <col min="2" max="2" width="62.7109375" style="50" customWidth="1"/>
    <col min="3" max="3" width="12.7109375" style="50" customWidth="1"/>
    <col min="4" max="4" width="15.28515625" style="116" bestFit="1" customWidth="1"/>
    <col min="5" max="5" width="12.7109375" style="50" customWidth="1"/>
    <col min="6" max="6" width="15.28515625" style="116" bestFit="1" customWidth="1"/>
    <col min="7" max="7" width="19.5703125" style="50" customWidth="1"/>
    <col min="8" max="8" width="26.7109375" style="50" customWidth="1"/>
    <col min="9" max="9" width="15.7109375" style="50" customWidth="1"/>
    <col min="10" max="11" width="10.7109375" style="50" customWidth="1"/>
    <col min="12" max="12" width="50.85546875" style="50" bestFit="1" customWidth="1"/>
    <col min="13" max="13" width="12.7109375" style="50" customWidth="1"/>
    <col min="14" max="14" width="14.7109375" style="116" customWidth="1"/>
    <col min="15" max="15" width="12.7109375" style="50" customWidth="1"/>
    <col min="16" max="16" width="14.85546875" style="50" customWidth="1"/>
    <col min="17" max="17" width="15.7109375" style="50" customWidth="1"/>
    <col min="18" max="16384" width="9.140625" style="50"/>
  </cols>
  <sheetData>
    <row r="1" spans="1:17" x14ac:dyDescent="0.25">
      <c r="A1" s="47"/>
      <c r="B1" s="48"/>
      <c r="C1" s="51"/>
      <c r="D1" s="206"/>
      <c r="E1" s="51"/>
      <c r="F1" s="206"/>
      <c r="G1" s="51"/>
      <c r="H1" s="51"/>
      <c r="I1" s="51"/>
    </row>
    <row r="2" spans="1:17" x14ac:dyDescent="0.25">
      <c r="A2" s="47"/>
      <c r="B2" s="48"/>
      <c r="C2" s="461" t="s">
        <v>104</v>
      </c>
      <c r="D2" s="461"/>
      <c r="E2" s="461"/>
      <c r="F2" s="461"/>
      <c r="G2" s="51" t="s">
        <v>105</v>
      </c>
      <c r="H2" s="51" t="s">
        <v>106</v>
      </c>
      <c r="I2" s="51" t="s">
        <v>107</v>
      </c>
    </row>
    <row r="3" spans="1:17" x14ac:dyDescent="0.25">
      <c r="A3" s="47"/>
      <c r="B3" s="48"/>
      <c r="C3" s="461" t="s">
        <v>108</v>
      </c>
      <c r="D3" s="461"/>
      <c r="E3" s="461" t="s">
        <v>109</v>
      </c>
      <c r="F3" s="461"/>
      <c r="G3" s="51"/>
      <c r="H3" s="51"/>
      <c r="I3" s="51"/>
      <c r="M3" s="461" t="s">
        <v>104</v>
      </c>
      <c r="N3" s="461"/>
      <c r="O3" s="461"/>
      <c r="P3" s="461"/>
    </row>
    <row r="4" spans="1:17" x14ac:dyDescent="0.25">
      <c r="A4" s="47"/>
      <c r="B4" s="48"/>
      <c r="C4" s="51" t="s">
        <v>268</v>
      </c>
      <c r="D4" s="206" t="s">
        <v>110</v>
      </c>
      <c r="E4" s="51" t="s">
        <v>268</v>
      </c>
      <c r="F4" s="206" t="s">
        <v>110</v>
      </c>
      <c r="G4" s="51"/>
      <c r="H4" s="51"/>
      <c r="I4" s="51"/>
      <c r="M4" s="51" t="s">
        <v>108</v>
      </c>
      <c r="N4" s="206"/>
      <c r="O4" s="51" t="s">
        <v>109</v>
      </c>
      <c r="P4" s="51"/>
      <c r="Q4" s="51" t="s">
        <v>107</v>
      </c>
    </row>
    <row r="5" spans="1:17" x14ac:dyDescent="0.25">
      <c r="A5" s="47"/>
      <c r="B5" s="48" t="s">
        <v>111</v>
      </c>
      <c r="C5" s="51">
        <f>C8+C16+C27+M7+M13</f>
        <v>196</v>
      </c>
      <c r="D5" s="206">
        <f>D8+D16+D27+N7+N13</f>
        <v>105056</v>
      </c>
      <c r="E5" s="51">
        <f>E8+E16+E27+O7+O13</f>
        <v>224</v>
      </c>
      <c r="F5" s="206">
        <f>F8+F16+F27+P7+P13</f>
        <v>298144</v>
      </c>
      <c r="G5" s="51"/>
      <c r="H5" s="51"/>
      <c r="I5" s="52">
        <f>I8+I16+I27+Q7+Q13</f>
        <v>857390</v>
      </c>
      <c r="M5" s="51" t="s">
        <v>268</v>
      </c>
      <c r="N5" s="206" t="s">
        <v>110</v>
      </c>
      <c r="O5" s="51" t="s">
        <v>268</v>
      </c>
      <c r="P5" s="51" t="s">
        <v>110</v>
      </c>
    </row>
    <row r="6" spans="1:17" ht="16.5" thickBot="1" x14ac:dyDescent="0.3">
      <c r="A6" s="53"/>
      <c r="B6" s="54"/>
      <c r="C6" s="55"/>
      <c r="D6" s="207"/>
      <c r="E6" s="55"/>
      <c r="F6" s="206"/>
      <c r="G6" s="55"/>
      <c r="H6" s="55"/>
      <c r="I6" s="55"/>
      <c r="K6" s="56"/>
    </row>
    <row r="7" spans="1:17" ht="16.5" thickBot="1" x14ac:dyDescent="0.3">
      <c r="A7" s="53" t="s">
        <v>112</v>
      </c>
      <c r="B7" s="54" t="s">
        <v>113</v>
      </c>
      <c r="C7" s="55"/>
      <c r="D7" s="207"/>
      <c r="E7" s="55"/>
      <c r="F7" s="206"/>
      <c r="G7" s="55"/>
      <c r="H7" s="55"/>
      <c r="I7" s="55"/>
      <c r="J7" s="57"/>
      <c r="K7" s="58">
        <v>4</v>
      </c>
      <c r="L7" s="59" t="s">
        <v>114</v>
      </c>
      <c r="M7" s="60">
        <f>SUM(M8:M11)</f>
        <v>29</v>
      </c>
      <c r="N7" s="208">
        <f>M7*M25</f>
        <v>15544</v>
      </c>
      <c r="O7" s="60">
        <f>SUM(O8:O11)</f>
        <v>24</v>
      </c>
      <c r="P7" s="61">
        <f>O7*$M$23</f>
        <v>31944</v>
      </c>
      <c r="Q7" s="62">
        <f>N7+P7</f>
        <v>47488</v>
      </c>
    </row>
    <row r="8" spans="1:17" ht="16.5" thickBot="1" x14ac:dyDescent="0.3">
      <c r="A8" s="58">
        <v>1</v>
      </c>
      <c r="B8" s="59" t="s">
        <v>115</v>
      </c>
      <c r="C8" s="60">
        <f>SUM(C9:C14)</f>
        <v>37</v>
      </c>
      <c r="D8" s="208">
        <f>C8*M25</f>
        <v>19832</v>
      </c>
      <c r="E8" s="60">
        <f>SUM(E9:E14)</f>
        <v>31</v>
      </c>
      <c r="F8" s="208">
        <f t="shared" ref="F8:F14" si="0">E8*$M$23</f>
        <v>41261</v>
      </c>
      <c r="G8" s="60"/>
      <c r="H8" s="60"/>
      <c r="I8" s="63">
        <f>D8+F8</f>
        <v>61093</v>
      </c>
      <c r="J8" s="64"/>
      <c r="K8" s="65" t="s">
        <v>116</v>
      </c>
      <c r="L8" s="66" t="s">
        <v>117</v>
      </c>
      <c r="M8" s="55">
        <v>5</v>
      </c>
      <c r="N8" s="207">
        <f>M8*M25</f>
        <v>2680</v>
      </c>
      <c r="O8" s="55">
        <v>0</v>
      </c>
      <c r="P8" s="67">
        <f>O8*$M$23</f>
        <v>0</v>
      </c>
      <c r="Q8" s="68">
        <f t="shared" ref="Q8:Q18" si="1">N8+P8</f>
        <v>2680</v>
      </c>
    </row>
    <row r="9" spans="1:17" x14ac:dyDescent="0.25">
      <c r="A9" s="65" t="s">
        <v>118</v>
      </c>
      <c r="B9" s="69" t="s">
        <v>119</v>
      </c>
      <c r="C9" s="55">
        <v>5</v>
      </c>
      <c r="D9" s="207">
        <f>C9*M25</f>
        <v>2680</v>
      </c>
      <c r="E9" s="55">
        <v>5</v>
      </c>
      <c r="F9" s="207">
        <f t="shared" si="0"/>
        <v>6655</v>
      </c>
      <c r="G9" s="55"/>
      <c r="H9" s="55"/>
      <c r="I9" s="71">
        <f t="shared" ref="I9:I14" si="2">D9+F9</f>
        <v>9335</v>
      </c>
      <c r="K9" s="65" t="s">
        <v>120</v>
      </c>
      <c r="L9" s="66" t="s">
        <v>121</v>
      </c>
      <c r="M9" s="55">
        <v>5</v>
      </c>
      <c r="N9" s="207">
        <f>M9*M25</f>
        <v>2680</v>
      </c>
      <c r="O9" s="55">
        <v>5</v>
      </c>
      <c r="P9" s="67">
        <f t="shared" ref="P9:P18" si="3">O9*$M$23</f>
        <v>6655</v>
      </c>
      <c r="Q9" s="68">
        <f t="shared" si="1"/>
        <v>9335</v>
      </c>
    </row>
    <row r="10" spans="1:17" x14ac:dyDescent="0.25">
      <c r="A10" s="65" t="s">
        <v>122</v>
      </c>
      <c r="B10" s="69" t="s">
        <v>123</v>
      </c>
      <c r="C10" s="55">
        <v>2</v>
      </c>
      <c r="D10" s="207">
        <f>C10*M25</f>
        <v>1072</v>
      </c>
      <c r="E10" s="55">
        <v>1</v>
      </c>
      <c r="F10" s="207">
        <f t="shared" si="0"/>
        <v>1331</v>
      </c>
      <c r="G10" s="55"/>
      <c r="H10" s="55"/>
      <c r="I10" s="71">
        <f t="shared" si="2"/>
        <v>2403</v>
      </c>
      <c r="K10" s="65" t="s">
        <v>124</v>
      </c>
      <c r="L10" s="66" t="s">
        <v>125</v>
      </c>
      <c r="M10" s="55">
        <v>15</v>
      </c>
      <c r="N10" s="207">
        <f>M10*M25</f>
        <v>8040</v>
      </c>
      <c r="O10" s="55">
        <v>15</v>
      </c>
      <c r="P10" s="67">
        <f t="shared" si="3"/>
        <v>19965</v>
      </c>
      <c r="Q10" s="68">
        <f t="shared" si="1"/>
        <v>28005</v>
      </c>
    </row>
    <row r="11" spans="1:17" ht="16.5" thickBot="1" x14ac:dyDescent="0.3">
      <c r="A11" s="65" t="s">
        <v>126</v>
      </c>
      <c r="B11" s="69" t="s">
        <v>127</v>
      </c>
      <c r="C11" s="55">
        <v>10</v>
      </c>
      <c r="D11" s="207">
        <f>C11*M25</f>
        <v>5360</v>
      </c>
      <c r="E11" s="55">
        <v>10</v>
      </c>
      <c r="F11" s="207">
        <f t="shared" si="0"/>
        <v>13310</v>
      </c>
      <c r="G11" s="55"/>
      <c r="H11" s="55"/>
      <c r="I11" s="71">
        <f t="shared" si="2"/>
        <v>18670</v>
      </c>
      <c r="K11" s="72" t="s">
        <v>128</v>
      </c>
      <c r="L11" s="73" t="s">
        <v>129</v>
      </c>
      <c r="M11" s="243">
        <v>4</v>
      </c>
      <c r="N11" s="209">
        <f>M11*M25</f>
        <v>2144</v>
      </c>
      <c r="O11" s="74">
        <v>4</v>
      </c>
      <c r="P11" s="75">
        <f t="shared" si="3"/>
        <v>5324</v>
      </c>
      <c r="Q11" s="76">
        <f t="shared" si="1"/>
        <v>7468</v>
      </c>
    </row>
    <row r="12" spans="1:17" ht="16.5" thickBot="1" x14ac:dyDescent="0.3">
      <c r="A12" s="65" t="s">
        <v>130</v>
      </c>
      <c r="B12" s="69" t="s">
        <v>131</v>
      </c>
      <c r="C12" s="55">
        <v>5</v>
      </c>
      <c r="D12" s="207">
        <f>C12*M25</f>
        <v>2680</v>
      </c>
      <c r="E12" s="55">
        <v>5</v>
      </c>
      <c r="F12" s="207">
        <f t="shared" si="0"/>
        <v>6655</v>
      </c>
      <c r="G12" s="55"/>
      <c r="H12" s="55"/>
      <c r="I12" s="71">
        <f t="shared" si="2"/>
        <v>9335</v>
      </c>
      <c r="K12" s="47"/>
      <c r="L12" s="48"/>
      <c r="M12" s="51"/>
      <c r="N12" s="207"/>
      <c r="O12" s="51"/>
      <c r="P12" s="67"/>
      <c r="Q12" s="67"/>
    </row>
    <row r="13" spans="1:17" ht="16.5" thickBot="1" x14ac:dyDescent="0.3">
      <c r="A13" s="65" t="s">
        <v>132</v>
      </c>
      <c r="B13" s="69" t="s">
        <v>133</v>
      </c>
      <c r="C13" s="55">
        <v>10</v>
      </c>
      <c r="D13" s="207">
        <f>C13*M25</f>
        <v>5360</v>
      </c>
      <c r="E13" s="55">
        <v>5</v>
      </c>
      <c r="F13" s="207">
        <f t="shared" si="0"/>
        <v>6655</v>
      </c>
      <c r="G13" s="55"/>
      <c r="H13" s="55"/>
      <c r="I13" s="71">
        <f t="shared" si="2"/>
        <v>12015</v>
      </c>
      <c r="K13" s="77">
        <v>5</v>
      </c>
      <c r="L13" s="78" t="s">
        <v>134</v>
      </c>
      <c r="M13" s="60">
        <f>SUM(M14:M18)</f>
        <v>17</v>
      </c>
      <c r="N13" s="208">
        <f>M13*M25</f>
        <v>9112</v>
      </c>
      <c r="O13" s="60">
        <f>SUM(O14:O18)</f>
        <v>41</v>
      </c>
      <c r="P13" s="79">
        <f t="shared" si="3"/>
        <v>54571</v>
      </c>
      <c r="Q13" s="62">
        <f t="shared" si="1"/>
        <v>63683</v>
      </c>
    </row>
    <row r="14" spans="1:17" ht="16.5" thickBot="1" x14ac:dyDescent="0.3">
      <c r="A14" s="72" t="s">
        <v>135</v>
      </c>
      <c r="B14" s="80" t="s">
        <v>136</v>
      </c>
      <c r="C14" s="74">
        <v>5</v>
      </c>
      <c r="D14" s="209">
        <f>C14*M25</f>
        <v>2680</v>
      </c>
      <c r="E14" s="74">
        <v>5</v>
      </c>
      <c r="F14" s="209">
        <f t="shared" si="0"/>
        <v>6655</v>
      </c>
      <c r="G14" s="74"/>
      <c r="H14" s="74"/>
      <c r="I14" s="82">
        <f t="shared" si="2"/>
        <v>9335</v>
      </c>
      <c r="K14" s="65" t="s">
        <v>137</v>
      </c>
      <c r="L14" s="66" t="s">
        <v>138</v>
      </c>
      <c r="M14" s="55">
        <v>0</v>
      </c>
      <c r="N14" s="207">
        <f>M14*M25</f>
        <v>0</v>
      </c>
      <c r="O14" s="55">
        <v>15</v>
      </c>
      <c r="P14" s="67">
        <f t="shared" si="3"/>
        <v>19965</v>
      </c>
      <c r="Q14" s="68">
        <f t="shared" si="1"/>
        <v>19965</v>
      </c>
    </row>
    <row r="15" spans="1:17" ht="16.5" thickBot="1" x14ac:dyDescent="0.3">
      <c r="A15" s="47"/>
      <c r="B15" s="48"/>
      <c r="C15" s="51"/>
      <c r="D15" s="207"/>
      <c r="E15" s="51"/>
      <c r="F15" s="206"/>
      <c r="G15" s="51"/>
      <c r="H15" s="51"/>
      <c r="I15" s="51"/>
      <c r="K15" s="65" t="s">
        <v>139</v>
      </c>
      <c r="L15" s="66" t="s">
        <v>140</v>
      </c>
      <c r="M15" s="55">
        <v>2</v>
      </c>
      <c r="N15" s="207">
        <f>M15*M25</f>
        <v>1072</v>
      </c>
      <c r="O15" s="55">
        <v>10</v>
      </c>
      <c r="P15" s="67">
        <f t="shared" si="3"/>
        <v>13310</v>
      </c>
      <c r="Q15" s="68">
        <f t="shared" si="1"/>
        <v>14382</v>
      </c>
    </row>
    <row r="16" spans="1:17" ht="16.5" thickBot="1" x14ac:dyDescent="0.3">
      <c r="A16" s="58">
        <v>2</v>
      </c>
      <c r="B16" s="78" t="s">
        <v>141</v>
      </c>
      <c r="C16" s="60">
        <f>SUM(C17:C25)</f>
        <v>79</v>
      </c>
      <c r="D16" s="208">
        <f>C16*M25</f>
        <v>42344</v>
      </c>
      <c r="E16" s="60">
        <f>SUM(E17:E25)</f>
        <v>94</v>
      </c>
      <c r="F16" s="212">
        <f>E16*$M$23</f>
        <v>125114</v>
      </c>
      <c r="G16" s="60"/>
      <c r="H16" s="60"/>
      <c r="I16" s="63">
        <f>SUM(I17:I25)</f>
        <v>592168</v>
      </c>
      <c r="J16" s="64"/>
      <c r="K16" s="65" t="s">
        <v>142</v>
      </c>
      <c r="L16" s="66" t="s">
        <v>143</v>
      </c>
      <c r="M16" s="55">
        <v>5</v>
      </c>
      <c r="N16" s="207">
        <f>M16*M25</f>
        <v>2680</v>
      </c>
      <c r="O16" s="55">
        <v>5</v>
      </c>
      <c r="P16" s="67">
        <f t="shared" si="3"/>
        <v>6655</v>
      </c>
      <c r="Q16" s="68">
        <f t="shared" si="1"/>
        <v>9335</v>
      </c>
    </row>
    <row r="17" spans="1:17" x14ac:dyDescent="0.25">
      <c r="A17" s="65" t="s">
        <v>144</v>
      </c>
      <c r="B17" s="66" t="s">
        <v>145</v>
      </c>
      <c r="C17" s="55"/>
      <c r="D17" s="207"/>
      <c r="E17" s="55"/>
      <c r="F17" s="207"/>
      <c r="G17" s="55"/>
      <c r="H17" s="70">
        <v>60500</v>
      </c>
      <c r="I17" s="71">
        <v>60500</v>
      </c>
      <c r="K17" s="65" t="s">
        <v>146</v>
      </c>
      <c r="L17" s="66" t="s">
        <v>147</v>
      </c>
      <c r="M17" s="55">
        <v>5</v>
      </c>
      <c r="N17" s="207">
        <f>M17*M25</f>
        <v>2680</v>
      </c>
      <c r="O17" s="55">
        <v>5</v>
      </c>
      <c r="P17" s="67">
        <f t="shared" si="3"/>
        <v>6655</v>
      </c>
      <c r="Q17" s="68">
        <f t="shared" si="1"/>
        <v>9335</v>
      </c>
    </row>
    <row r="18" spans="1:17" ht="16.5" thickBot="1" x14ac:dyDescent="0.3">
      <c r="A18" s="65" t="s">
        <v>148</v>
      </c>
      <c r="B18" s="66" t="s">
        <v>261</v>
      </c>
      <c r="C18" s="55"/>
      <c r="D18" s="207"/>
      <c r="E18" s="55"/>
      <c r="F18" s="207"/>
      <c r="G18" s="55">
        <v>0</v>
      </c>
      <c r="H18" s="241">
        <f>106*1.21</f>
        <v>128.26</v>
      </c>
      <c r="I18" s="242">
        <f>G18*H18</f>
        <v>0</v>
      </c>
      <c r="K18" s="72" t="s">
        <v>149</v>
      </c>
      <c r="L18" s="73" t="s">
        <v>150</v>
      </c>
      <c r="M18" s="74">
        <v>5</v>
      </c>
      <c r="N18" s="209">
        <f>M18*M25</f>
        <v>2680</v>
      </c>
      <c r="O18" s="74">
        <v>6</v>
      </c>
      <c r="P18" s="75">
        <f t="shared" si="3"/>
        <v>7986</v>
      </c>
      <c r="Q18" s="76">
        <f t="shared" si="1"/>
        <v>10666</v>
      </c>
    </row>
    <row r="19" spans="1:17" x14ac:dyDescent="0.25">
      <c r="A19" s="65" t="s">
        <v>151</v>
      </c>
      <c r="B19" s="66" t="s">
        <v>152</v>
      </c>
      <c r="C19" s="55"/>
      <c r="D19" s="207"/>
      <c r="E19" s="55"/>
      <c r="F19" s="207"/>
      <c r="G19" s="55">
        <v>0</v>
      </c>
      <c r="H19" s="70">
        <f>2100*1.21</f>
        <v>2541</v>
      </c>
      <c r="I19" s="71">
        <f>H19*G19</f>
        <v>0</v>
      </c>
    </row>
    <row r="20" spans="1:17" x14ac:dyDescent="0.25">
      <c r="A20" s="65" t="s">
        <v>153</v>
      </c>
      <c r="B20" s="66" t="s">
        <v>154</v>
      </c>
      <c r="C20" s="55"/>
      <c r="D20" s="207"/>
      <c r="E20" s="55"/>
      <c r="F20" s="207"/>
      <c r="G20" s="55">
        <v>100</v>
      </c>
      <c r="H20" s="70">
        <f>1900*1.21</f>
        <v>2299</v>
      </c>
      <c r="I20" s="71">
        <f>H20*G20</f>
        <v>229900</v>
      </c>
    </row>
    <row r="21" spans="1:17" x14ac:dyDescent="0.25">
      <c r="A21" s="65" t="s">
        <v>155</v>
      </c>
      <c r="B21" s="66" t="s">
        <v>156</v>
      </c>
      <c r="C21" s="55"/>
      <c r="D21" s="207"/>
      <c r="E21" s="55"/>
      <c r="F21" s="207"/>
      <c r="G21" s="55">
        <v>200</v>
      </c>
      <c r="H21" s="70">
        <f>525*1.21</f>
        <v>635.25</v>
      </c>
      <c r="I21" s="71">
        <f>H21*G21</f>
        <v>127050</v>
      </c>
      <c r="L21" s="84" t="s">
        <v>269</v>
      </c>
      <c r="M21" s="85">
        <v>1100</v>
      </c>
    </row>
    <row r="22" spans="1:17" x14ac:dyDescent="0.25">
      <c r="A22" s="65" t="s">
        <v>157</v>
      </c>
      <c r="B22" s="66" t="s">
        <v>158</v>
      </c>
      <c r="C22" s="55">
        <v>75</v>
      </c>
      <c r="D22" s="207">
        <f>C22*M25</f>
        <v>40200</v>
      </c>
      <c r="E22" s="55">
        <v>90</v>
      </c>
      <c r="F22" s="207">
        <f>E22*$M$23</f>
        <v>119790</v>
      </c>
      <c r="G22" s="55"/>
      <c r="H22" s="70"/>
      <c r="I22" s="71">
        <f>D22+F22</f>
        <v>159990</v>
      </c>
      <c r="L22" s="84" t="s">
        <v>159</v>
      </c>
      <c r="M22" s="99">
        <v>1.21</v>
      </c>
    </row>
    <row r="23" spans="1:17" x14ac:dyDescent="0.25">
      <c r="A23" s="65" t="s">
        <v>160</v>
      </c>
      <c r="B23" s="66" t="s">
        <v>161</v>
      </c>
      <c r="C23" s="55"/>
      <c r="D23" s="207"/>
      <c r="E23" s="55"/>
      <c r="F23" s="207"/>
      <c r="G23" s="55"/>
      <c r="H23" s="70"/>
      <c r="I23" s="71">
        <f>6000*1.21</f>
        <v>7260</v>
      </c>
      <c r="L23" s="84" t="s">
        <v>270</v>
      </c>
      <c r="M23" s="52">
        <f>M21*M22</f>
        <v>1331</v>
      </c>
    </row>
    <row r="24" spans="1:17" x14ac:dyDescent="0.25">
      <c r="A24" s="65" t="s">
        <v>162</v>
      </c>
      <c r="B24" s="66" t="s">
        <v>163</v>
      </c>
      <c r="C24" s="55"/>
      <c r="D24" s="207"/>
      <c r="E24" s="55"/>
      <c r="F24" s="207"/>
      <c r="G24" s="55"/>
      <c r="H24" s="70"/>
      <c r="I24" s="71" t="s">
        <v>164</v>
      </c>
    </row>
    <row r="25" spans="1:17" ht="16.5" thickBot="1" x14ac:dyDescent="0.3">
      <c r="A25" s="72" t="s">
        <v>165</v>
      </c>
      <c r="B25" s="73" t="s">
        <v>166</v>
      </c>
      <c r="C25" s="74">
        <v>4</v>
      </c>
      <c r="D25" s="209">
        <f>C25*M25</f>
        <v>2144</v>
      </c>
      <c r="E25" s="74">
        <v>4</v>
      </c>
      <c r="F25" s="209">
        <f>E25*$M$23</f>
        <v>5324</v>
      </c>
      <c r="G25" s="74"/>
      <c r="H25" s="81"/>
      <c r="I25" s="82">
        <f>D25+F25</f>
        <v>7468</v>
      </c>
      <c r="L25" s="84" t="s">
        <v>267</v>
      </c>
      <c r="M25" s="206">
        <f>2144/4</f>
        <v>536</v>
      </c>
    </row>
    <row r="26" spans="1:17" ht="16.5" thickBot="1" x14ac:dyDescent="0.3">
      <c r="A26" s="53"/>
      <c r="B26" s="54"/>
      <c r="C26" s="51"/>
      <c r="D26" s="207"/>
      <c r="E26" s="51"/>
      <c r="F26" s="206"/>
      <c r="G26" s="51"/>
      <c r="H26" s="52"/>
      <c r="I26" s="52"/>
    </row>
    <row r="27" spans="1:17" ht="16.5" thickBot="1" x14ac:dyDescent="0.3">
      <c r="A27" s="58">
        <v>3</v>
      </c>
      <c r="B27" s="78" t="s">
        <v>167</v>
      </c>
      <c r="C27" s="60">
        <f>SUM(C28:C41)</f>
        <v>34</v>
      </c>
      <c r="D27" s="208">
        <f>C27*M25</f>
        <v>18224</v>
      </c>
      <c r="E27" s="60">
        <f>SUM(E28:E41)</f>
        <v>34</v>
      </c>
      <c r="F27" s="212">
        <f>E27*$M$23</f>
        <v>45254</v>
      </c>
      <c r="G27" s="60"/>
      <c r="H27" s="83"/>
      <c r="I27" s="63">
        <f>I28+I40+I41</f>
        <v>92958</v>
      </c>
      <c r="J27" s="64"/>
      <c r="K27" s="64"/>
      <c r="L27" s="64"/>
      <c r="M27" s="64"/>
      <c r="N27" s="215"/>
      <c r="O27" s="64"/>
      <c r="P27" s="64"/>
      <c r="Q27" s="64"/>
    </row>
    <row r="28" spans="1:17" x14ac:dyDescent="0.25">
      <c r="A28" s="86" t="s">
        <v>168</v>
      </c>
      <c r="B28" s="87" t="s">
        <v>256</v>
      </c>
      <c r="C28" s="88"/>
      <c r="D28" s="210"/>
      <c r="E28" s="88"/>
      <c r="F28" s="210"/>
      <c r="G28" s="88">
        <f>SUM(G29:G38)</f>
        <v>3685</v>
      </c>
      <c r="H28" s="210">
        <v>8</v>
      </c>
      <c r="I28" s="89">
        <f>G28*H28</f>
        <v>29480</v>
      </c>
    </row>
    <row r="29" spans="1:17" x14ac:dyDescent="0.25">
      <c r="A29" s="65" t="s">
        <v>170</v>
      </c>
      <c r="B29" s="90" t="s">
        <v>171</v>
      </c>
      <c r="C29" s="91"/>
      <c r="D29" s="207"/>
      <c r="E29" s="91"/>
      <c r="F29" s="213"/>
      <c r="G29" s="91">
        <v>150</v>
      </c>
      <c r="H29" s="213">
        <v>8</v>
      </c>
      <c r="I29" s="92">
        <f>G29*H29</f>
        <v>1200</v>
      </c>
    </row>
    <row r="30" spans="1:17" x14ac:dyDescent="0.25">
      <c r="A30" s="65" t="s">
        <v>172</v>
      </c>
      <c r="B30" s="93" t="s">
        <v>173</v>
      </c>
      <c r="C30" s="91"/>
      <c r="D30" s="207"/>
      <c r="E30" s="91"/>
      <c r="F30" s="213"/>
      <c r="G30" s="91">
        <v>30</v>
      </c>
      <c r="H30" s="213">
        <v>8</v>
      </c>
      <c r="I30" s="92">
        <f t="shared" ref="I30:I31" si="4">G30*H30</f>
        <v>240</v>
      </c>
    </row>
    <row r="31" spans="1:17" x14ac:dyDescent="0.25">
      <c r="A31" s="65" t="s">
        <v>174</v>
      </c>
      <c r="B31" s="90" t="s">
        <v>175</v>
      </c>
      <c r="C31" s="91"/>
      <c r="D31" s="207"/>
      <c r="E31" s="91"/>
      <c r="F31" s="213"/>
      <c r="G31" s="91">
        <v>50</v>
      </c>
      <c r="H31" s="213">
        <v>8</v>
      </c>
      <c r="I31" s="92">
        <f t="shared" si="4"/>
        <v>400</v>
      </c>
    </row>
    <row r="32" spans="1:17" x14ac:dyDescent="0.25">
      <c r="A32" s="65" t="s">
        <v>176</v>
      </c>
      <c r="B32" s="90" t="s">
        <v>177</v>
      </c>
      <c r="C32" s="91"/>
      <c r="D32" s="207"/>
      <c r="E32" s="91"/>
      <c r="F32" s="213"/>
      <c r="G32" s="91">
        <v>675</v>
      </c>
      <c r="H32" s="213">
        <v>8</v>
      </c>
      <c r="I32" s="92">
        <f t="shared" ref="I32:I38" si="5">G32*H32</f>
        <v>5400</v>
      </c>
    </row>
    <row r="33" spans="1:14" x14ac:dyDescent="0.25">
      <c r="A33" s="65" t="s">
        <v>178</v>
      </c>
      <c r="B33" s="90" t="s">
        <v>179</v>
      </c>
      <c r="C33" s="91"/>
      <c r="D33" s="207"/>
      <c r="E33" s="91"/>
      <c r="F33" s="213"/>
      <c r="G33" s="91">
        <v>270</v>
      </c>
      <c r="H33" s="213">
        <v>8</v>
      </c>
      <c r="I33" s="92">
        <f t="shared" si="5"/>
        <v>2160</v>
      </c>
    </row>
    <row r="34" spans="1:14" x14ac:dyDescent="0.25">
      <c r="A34" s="65" t="s">
        <v>180</v>
      </c>
      <c r="B34" s="90" t="s">
        <v>181</v>
      </c>
      <c r="C34" s="91"/>
      <c r="D34" s="207"/>
      <c r="E34" s="91"/>
      <c r="F34" s="213"/>
      <c r="G34" s="91">
        <v>600</v>
      </c>
      <c r="H34" s="213">
        <v>8</v>
      </c>
      <c r="I34" s="92">
        <f t="shared" si="5"/>
        <v>4800</v>
      </c>
    </row>
    <row r="35" spans="1:14" x14ac:dyDescent="0.25">
      <c r="A35" s="65" t="s">
        <v>257</v>
      </c>
      <c r="B35" s="93" t="s">
        <v>185</v>
      </c>
      <c r="C35" s="91"/>
      <c r="D35" s="207"/>
      <c r="E35" s="91"/>
      <c r="F35" s="213"/>
      <c r="G35" s="91">
        <v>1000</v>
      </c>
      <c r="H35" s="213">
        <v>8</v>
      </c>
      <c r="I35" s="92">
        <f t="shared" si="5"/>
        <v>8000</v>
      </c>
    </row>
    <row r="36" spans="1:14" x14ac:dyDescent="0.25">
      <c r="A36" s="65" t="s">
        <v>258</v>
      </c>
      <c r="B36" s="90" t="s">
        <v>187</v>
      </c>
      <c r="C36" s="91"/>
      <c r="D36" s="207"/>
      <c r="E36" s="91"/>
      <c r="F36" s="213"/>
      <c r="G36" s="91">
        <v>160</v>
      </c>
      <c r="H36" s="213">
        <v>8</v>
      </c>
      <c r="I36" s="92">
        <f t="shared" si="5"/>
        <v>1280</v>
      </c>
      <c r="N36" s="207"/>
    </row>
    <row r="37" spans="1:14" x14ac:dyDescent="0.25">
      <c r="A37" s="65" t="s">
        <v>259</v>
      </c>
      <c r="B37" s="90" t="s">
        <v>189</v>
      </c>
      <c r="C37" s="91"/>
      <c r="D37" s="207"/>
      <c r="E37" s="91"/>
      <c r="F37" s="213"/>
      <c r="G37" s="91">
        <v>450</v>
      </c>
      <c r="H37" s="213">
        <v>8</v>
      </c>
      <c r="I37" s="92">
        <f t="shared" si="5"/>
        <v>3600</v>
      </c>
    </row>
    <row r="38" spans="1:14" ht="16.5" thickBot="1" x14ac:dyDescent="0.3">
      <c r="A38" s="94" t="s">
        <v>260</v>
      </c>
      <c r="B38" s="95" t="s">
        <v>191</v>
      </c>
      <c r="C38" s="96"/>
      <c r="D38" s="211"/>
      <c r="E38" s="96"/>
      <c r="F38" s="214"/>
      <c r="G38" s="96">
        <v>300</v>
      </c>
      <c r="H38" s="214">
        <v>8</v>
      </c>
      <c r="I38" s="97">
        <f t="shared" si="5"/>
        <v>2400</v>
      </c>
    </row>
    <row r="39" spans="1:14" ht="16.5" thickTop="1" x14ac:dyDescent="0.25">
      <c r="A39" s="65" t="s">
        <v>192</v>
      </c>
      <c r="B39" s="90" t="s">
        <v>193</v>
      </c>
      <c r="C39" s="55"/>
      <c r="D39" s="207"/>
      <c r="E39" s="55"/>
      <c r="F39" s="207"/>
      <c r="G39" s="55"/>
      <c r="H39" s="55"/>
      <c r="I39" s="98" t="s">
        <v>164</v>
      </c>
    </row>
    <row r="40" spans="1:14" x14ac:dyDescent="0.25">
      <c r="A40" s="65" t="s">
        <v>194</v>
      </c>
      <c r="B40" s="90" t="s">
        <v>195</v>
      </c>
      <c r="C40" s="55">
        <v>17</v>
      </c>
      <c r="D40" s="207">
        <f>C40*M25</f>
        <v>9112</v>
      </c>
      <c r="E40" s="55">
        <v>17</v>
      </c>
      <c r="F40" s="207">
        <f>E40*$M$23</f>
        <v>22627</v>
      </c>
      <c r="G40" s="55"/>
      <c r="H40" s="55"/>
      <c r="I40" s="71">
        <f>D40+F40</f>
        <v>31739</v>
      </c>
    </row>
    <row r="41" spans="1:14" ht="16.5" thickBot="1" x14ac:dyDescent="0.3">
      <c r="A41" s="72" t="s">
        <v>196</v>
      </c>
      <c r="B41" s="270" t="s">
        <v>197</v>
      </c>
      <c r="C41" s="74">
        <v>17</v>
      </c>
      <c r="D41" s="209">
        <f>C41*M25</f>
        <v>9112</v>
      </c>
      <c r="E41" s="74">
        <v>17</v>
      </c>
      <c r="F41" s="209">
        <f>E41*$M$23</f>
        <v>22627</v>
      </c>
      <c r="G41" s="74"/>
      <c r="H41" s="74"/>
      <c r="I41" s="82">
        <f>D41+F41</f>
        <v>31739</v>
      </c>
    </row>
    <row r="42" spans="1:14" x14ac:dyDescent="0.25">
      <c r="D42" s="50"/>
      <c r="F42" s="50"/>
    </row>
  </sheetData>
  <mergeCells count="4">
    <mergeCell ref="C2:F2"/>
    <mergeCell ref="C3:D3"/>
    <mergeCell ref="E3:F3"/>
    <mergeCell ref="M3:P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0" zoomScaleNormal="80" workbookViewId="0">
      <selection activeCell="L36" sqref="L36"/>
    </sheetView>
  </sheetViews>
  <sheetFormatPr defaultRowHeight="15.75" x14ac:dyDescent="0.25"/>
  <cols>
    <col min="1" max="1" width="10.7109375" style="50" customWidth="1"/>
    <col min="2" max="2" width="62.7109375" style="50" customWidth="1"/>
    <col min="3" max="3" width="12.7109375" style="50" customWidth="1"/>
    <col min="4" max="4" width="15.28515625" style="116" bestFit="1" customWidth="1"/>
    <col min="5" max="5" width="12.7109375" style="50" customWidth="1"/>
    <col min="6" max="6" width="15.28515625" style="116" bestFit="1" customWidth="1"/>
    <col min="7" max="7" width="19.5703125" style="50" customWidth="1"/>
    <col min="8" max="8" width="26.7109375" style="50" customWidth="1"/>
    <col min="9" max="9" width="15.7109375" style="50" customWidth="1"/>
    <col min="10" max="11" width="10.7109375" style="50" customWidth="1"/>
    <col min="12" max="12" width="50.85546875" style="50" bestFit="1" customWidth="1"/>
    <col min="13" max="13" width="12.7109375" style="50" customWidth="1"/>
    <col min="14" max="14" width="14.7109375" style="116" customWidth="1"/>
    <col min="15" max="15" width="12.7109375" style="50" customWidth="1"/>
    <col min="16" max="16" width="14.85546875" style="50" customWidth="1"/>
    <col min="17" max="17" width="15.7109375" style="50" customWidth="1"/>
    <col min="18" max="16384" width="9.140625" style="50"/>
  </cols>
  <sheetData>
    <row r="1" spans="1:17" x14ac:dyDescent="0.25">
      <c r="A1" s="377"/>
      <c r="B1" s="378"/>
      <c r="C1" s="461" t="s">
        <v>104</v>
      </c>
      <c r="D1" s="461"/>
      <c r="E1" s="461"/>
      <c r="F1" s="461"/>
      <c r="G1" s="379" t="s">
        <v>105</v>
      </c>
      <c r="H1" s="379" t="s">
        <v>106</v>
      </c>
      <c r="I1" s="379" t="s">
        <v>107</v>
      </c>
      <c r="J1" s="376"/>
      <c r="K1" s="376"/>
      <c r="L1" s="376"/>
      <c r="M1" s="376"/>
      <c r="N1" s="376"/>
      <c r="O1" s="376"/>
      <c r="P1" s="376"/>
      <c r="Q1" s="376"/>
    </row>
    <row r="2" spans="1:17" x14ac:dyDescent="0.25">
      <c r="A2" s="377"/>
      <c r="B2" s="378"/>
      <c r="C2" s="461" t="s">
        <v>108</v>
      </c>
      <c r="D2" s="461"/>
      <c r="E2" s="461" t="s">
        <v>109</v>
      </c>
      <c r="F2" s="461"/>
      <c r="G2" s="379"/>
      <c r="H2" s="379"/>
      <c r="I2" s="379"/>
      <c r="J2" s="376"/>
      <c r="K2" s="376"/>
      <c r="L2" s="376"/>
      <c r="M2" s="461" t="s">
        <v>104</v>
      </c>
      <c r="N2" s="461"/>
      <c r="O2" s="461"/>
      <c r="P2" s="461"/>
      <c r="Q2" s="376"/>
    </row>
    <row r="3" spans="1:17" x14ac:dyDescent="0.25">
      <c r="A3" s="377"/>
      <c r="B3" s="378"/>
      <c r="C3" s="379" t="s">
        <v>268</v>
      </c>
      <c r="D3" s="433" t="s">
        <v>110</v>
      </c>
      <c r="E3" s="379" t="s">
        <v>268</v>
      </c>
      <c r="F3" s="433" t="s">
        <v>110</v>
      </c>
      <c r="G3" s="379"/>
      <c r="H3" s="379"/>
      <c r="I3" s="379"/>
      <c r="J3" s="376"/>
      <c r="K3" s="376"/>
      <c r="L3" s="376"/>
      <c r="M3" s="379" t="s">
        <v>108</v>
      </c>
      <c r="N3" s="433"/>
      <c r="O3" s="379" t="s">
        <v>109</v>
      </c>
      <c r="P3" s="379"/>
      <c r="Q3" s="379" t="s">
        <v>107</v>
      </c>
    </row>
    <row r="4" spans="1:17" x14ac:dyDescent="0.25">
      <c r="A4" s="377"/>
      <c r="B4" s="378" t="s">
        <v>111</v>
      </c>
      <c r="C4" s="379">
        <v>196</v>
      </c>
      <c r="D4" s="433">
        <v>105056</v>
      </c>
      <c r="E4" s="379">
        <v>224</v>
      </c>
      <c r="F4" s="433">
        <v>298144</v>
      </c>
      <c r="G4" s="379"/>
      <c r="H4" s="379"/>
      <c r="I4" s="380">
        <v>1220044.5</v>
      </c>
      <c r="J4" s="376"/>
      <c r="K4" s="376"/>
      <c r="L4" s="376"/>
      <c r="M4" s="379" t="s">
        <v>268</v>
      </c>
      <c r="N4" s="433" t="s">
        <v>110</v>
      </c>
      <c r="O4" s="379" t="s">
        <v>268</v>
      </c>
      <c r="P4" s="379" t="s">
        <v>110</v>
      </c>
      <c r="Q4" s="376"/>
    </row>
    <row r="5" spans="1:17" ht="16.5" thickBot="1" x14ac:dyDescent="0.3">
      <c r="A5" s="381"/>
      <c r="B5" s="382"/>
      <c r="C5" s="383"/>
      <c r="D5" s="434"/>
      <c r="E5" s="383"/>
      <c r="F5" s="433"/>
      <c r="G5" s="383"/>
      <c r="H5" s="383"/>
      <c r="I5" s="383"/>
      <c r="J5" s="376"/>
      <c r="K5" s="384"/>
      <c r="L5" s="376"/>
      <c r="M5" s="376"/>
      <c r="N5" s="376"/>
      <c r="O5" s="376"/>
      <c r="P5" s="376"/>
      <c r="Q5" s="376"/>
    </row>
    <row r="6" spans="1:17" ht="16.5" thickBot="1" x14ac:dyDescent="0.3">
      <c r="A6" s="381" t="s">
        <v>112</v>
      </c>
      <c r="B6" s="382" t="s">
        <v>113</v>
      </c>
      <c r="C6" s="383"/>
      <c r="D6" s="434"/>
      <c r="E6" s="383"/>
      <c r="F6" s="433"/>
      <c r="G6" s="383"/>
      <c r="H6" s="383"/>
      <c r="I6" s="383"/>
      <c r="J6" s="385"/>
      <c r="K6" s="386">
        <v>4</v>
      </c>
      <c r="L6" s="387" t="s">
        <v>114</v>
      </c>
      <c r="M6" s="388">
        <v>29</v>
      </c>
      <c r="N6" s="435">
        <v>15544</v>
      </c>
      <c r="O6" s="388">
        <v>24</v>
      </c>
      <c r="P6" s="389">
        <v>31944</v>
      </c>
      <c r="Q6" s="390">
        <v>47488</v>
      </c>
    </row>
    <row r="7" spans="1:17" ht="16.5" thickBot="1" x14ac:dyDescent="0.3">
      <c r="A7" s="386">
        <v>1</v>
      </c>
      <c r="B7" s="387" t="s">
        <v>115</v>
      </c>
      <c r="C7" s="388">
        <v>37</v>
      </c>
      <c r="D7" s="435">
        <v>19832</v>
      </c>
      <c r="E7" s="388">
        <v>31</v>
      </c>
      <c r="F7" s="435">
        <v>41261</v>
      </c>
      <c r="G7" s="388"/>
      <c r="H7" s="388"/>
      <c r="I7" s="391">
        <v>61093</v>
      </c>
      <c r="J7" s="392"/>
      <c r="K7" s="393" t="s">
        <v>116</v>
      </c>
      <c r="L7" s="394" t="s">
        <v>117</v>
      </c>
      <c r="M7" s="383">
        <v>5</v>
      </c>
      <c r="N7" s="434">
        <v>2680</v>
      </c>
      <c r="O7" s="383">
        <v>0</v>
      </c>
      <c r="P7" s="395">
        <v>0</v>
      </c>
      <c r="Q7" s="396">
        <v>2680</v>
      </c>
    </row>
    <row r="8" spans="1:17" x14ac:dyDescent="0.25">
      <c r="A8" s="393" t="s">
        <v>118</v>
      </c>
      <c r="B8" s="397" t="s">
        <v>119</v>
      </c>
      <c r="C8" s="383">
        <v>5</v>
      </c>
      <c r="D8" s="434">
        <v>2680</v>
      </c>
      <c r="E8" s="383">
        <v>5</v>
      </c>
      <c r="F8" s="434">
        <v>6655</v>
      </c>
      <c r="G8" s="383"/>
      <c r="H8" s="383"/>
      <c r="I8" s="399">
        <v>9335</v>
      </c>
      <c r="J8" s="376"/>
      <c r="K8" s="393" t="s">
        <v>120</v>
      </c>
      <c r="L8" s="394" t="s">
        <v>121</v>
      </c>
      <c r="M8" s="383">
        <v>5</v>
      </c>
      <c r="N8" s="434">
        <v>2680</v>
      </c>
      <c r="O8" s="383">
        <v>5</v>
      </c>
      <c r="P8" s="395">
        <v>6655</v>
      </c>
      <c r="Q8" s="396">
        <v>9335</v>
      </c>
    </row>
    <row r="9" spans="1:17" ht="16.5" customHeight="1" x14ac:dyDescent="0.25">
      <c r="A9" s="393" t="s">
        <v>122</v>
      </c>
      <c r="B9" s="397" t="s">
        <v>123</v>
      </c>
      <c r="C9" s="383">
        <v>2</v>
      </c>
      <c r="D9" s="434">
        <v>1072</v>
      </c>
      <c r="E9" s="383">
        <v>1</v>
      </c>
      <c r="F9" s="434">
        <v>1331</v>
      </c>
      <c r="G9" s="383"/>
      <c r="H9" s="383"/>
      <c r="I9" s="399">
        <v>2403</v>
      </c>
      <c r="J9" s="376"/>
      <c r="K9" s="393" t="s">
        <v>124</v>
      </c>
      <c r="L9" s="394" t="s">
        <v>125</v>
      </c>
      <c r="M9" s="383">
        <v>15</v>
      </c>
      <c r="N9" s="434">
        <v>8040</v>
      </c>
      <c r="O9" s="383">
        <v>15</v>
      </c>
      <c r="P9" s="395">
        <v>19965</v>
      </c>
      <c r="Q9" s="396">
        <v>28005</v>
      </c>
    </row>
    <row r="10" spans="1:17" ht="16.5" customHeight="1" thickBot="1" x14ac:dyDescent="0.3">
      <c r="A10" s="393" t="s">
        <v>126</v>
      </c>
      <c r="B10" s="397" t="s">
        <v>127</v>
      </c>
      <c r="C10" s="383">
        <v>10</v>
      </c>
      <c r="D10" s="434">
        <v>5360</v>
      </c>
      <c r="E10" s="383">
        <v>10</v>
      </c>
      <c r="F10" s="434">
        <v>13310</v>
      </c>
      <c r="G10" s="383"/>
      <c r="H10" s="383"/>
      <c r="I10" s="399">
        <v>18670</v>
      </c>
      <c r="J10" s="376"/>
      <c r="K10" s="400" t="s">
        <v>128</v>
      </c>
      <c r="L10" s="401" t="s">
        <v>129</v>
      </c>
      <c r="M10" s="451">
        <v>4</v>
      </c>
      <c r="N10" s="436">
        <v>2144</v>
      </c>
      <c r="O10" s="402">
        <v>4</v>
      </c>
      <c r="P10" s="403">
        <v>5324</v>
      </c>
      <c r="Q10" s="404">
        <v>7468</v>
      </c>
    </row>
    <row r="11" spans="1:17" ht="16.5" customHeight="1" thickBot="1" x14ac:dyDescent="0.3">
      <c r="A11" s="393" t="s">
        <v>130</v>
      </c>
      <c r="B11" s="397" t="s">
        <v>131</v>
      </c>
      <c r="C11" s="383">
        <v>5</v>
      </c>
      <c r="D11" s="434">
        <v>2680</v>
      </c>
      <c r="E11" s="383">
        <v>5</v>
      </c>
      <c r="F11" s="434">
        <v>6655</v>
      </c>
      <c r="G11" s="383"/>
      <c r="H11" s="383"/>
      <c r="I11" s="399">
        <v>9335</v>
      </c>
      <c r="J11" s="376"/>
      <c r="K11" s="377"/>
      <c r="L11" s="378"/>
      <c r="M11" s="379"/>
      <c r="N11" s="434"/>
      <c r="O11" s="379"/>
      <c r="P11" s="395"/>
      <c r="Q11" s="395"/>
    </row>
    <row r="12" spans="1:17" ht="16.5" customHeight="1" thickBot="1" x14ac:dyDescent="0.3">
      <c r="A12" s="393" t="s">
        <v>132</v>
      </c>
      <c r="B12" s="397" t="s">
        <v>133</v>
      </c>
      <c r="C12" s="383">
        <v>10</v>
      </c>
      <c r="D12" s="434">
        <v>5360</v>
      </c>
      <c r="E12" s="383">
        <v>5</v>
      </c>
      <c r="F12" s="434">
        <v>6655</v>
      </c>
      <c r="G12" s="383"/>
      <c r="H12" s="383"/>
      <c r="I12" s="399">
        <v>12015</v>
      </c>
      <c r="J12" s="376"/>
      <c r="K12" s="405">
        <v>5</v>
      </c>
      <c r="L12" s="406" t="s">
        <v>134</v>
      </c>
      <c r="M12" s="388">
        <v>17</v>
      </c>
      <c r="N12" s="435">
        <v>9112</v>
      </c>
      <c r="O12" s="388">
        <v>41</v>
      </c>
      <c r="P12" s="407">
        <v>54571</v>
      </c>
      <c r="Q12" s="390">
        <v>63683</v>
      </c>
    </row>
    <row r="13" spans="1:17" ht="16.5" customHeight="1" thickBot="1" x14ac:dyDescent="0.3">
      <c r="A13" s="400" t="s">
        <v>135</v>
      </c>
      <c r="B13" s="408" t="s">
        <v>136</v>
      </c>
      <c r="C13" s="402">
        <v>5</v>
      </c>
      <c r="D13" s="436">
        <v>2680</v>
      </c>
      <c r="E13" s="402">
        <v>5</v>
      </c>
      <c r="F13" s="436">
        <v>6655</v>
      </c>
      <c r="G13" s="402"/>
      <c r="H13" s="402"/>
      <c r="I13" s="410">
        <v>9335</v>
      </c>
      <c r="J13" s="376"/>
      <c r="K13" s="393" t="s">
        <v>137</v>
      </c>
      <c r="L13" s="394" t="s">
        <v>138</v>
      </c>
      <c r="M13" s="383">
        <v>0</v>
      </c>
      <c r="N13" s="434">
        <v>0</v>
      </c>
      <c r="O13" s="383">
        <v>15</v>
      </c>
      <c r="P13" s="395">
        <v>19965</v>
      </c>
      <c r="Q13" s="396">
        <v>19965</v>
      </c>
    </row>
    <row r="14" spans="1:17" ht="16.5" customHeight="1" thickBot="1" x14ac:dyDescent="0.3">
      <c r="A14" s="377"/>
      <c r="B14" s="378"/>
      <c r="C14" s="379"/>
      <c r="D14" s="434"/>
      <c r="E14" s="379"/>
      <c r="F14" s="433"/>
      <c r="G14" s="379"/>
      <c r="H14" s="379"/>
      <c r="I14" s="379"/>
      <c r="J14" s="376"/>
      <c r="K14" s="393" t="s">
        <v>139</v>
      </c>
      <c r="L14" s="394" t="s">
        <v>140</v>
      </c>
      <c r="M14" s="383">
        <v>2</v>
      </c>
      <c r="N14" s="434">
        <v>1072</v>
      </c>
      <c r="O14" s="383">
        <v>10</v>
      </c>
      <c r="P14" s="395">
        <v>13310</v>
      </c>
      <c r="Q14" s="396">
        <v>14382</v>
      </c>
    </row>
    <row r="15" spans="1:17" ht="16.5" thickBot="1" x14ac:dyDescent="0.3">
      <c r="A15" s="386">
        <v>2</v>
      </c>
      <c r="B15" s="406" t="s">
        <v>141</v>
      </c>
      <c r="C15" s="388">
        <v>79</v>
      </c>
      <c r="D15" s="435">
        <v>42344</v>
      </c>
      <c r="E15" s="388">
        <v>94</v>
      </c>
      <c r="F15" s="439">
        <v>125114</v>
      </c>
      <c r="G15" s="388"/>
      <c r="H15" s="388"/>
      <c r="I15" s="391">
        <v>840157.5</v>
      </c>
      <c r="J15" s="392"/>
      <c r="K15" s="393" t="s">
        <v>142</v>
      </c>
      <c r="L15" s="394" t="s">
        <v>143</v>
      </c>
      <c r="M15" s="383">
        <v>5</v>
      </c>
      <c r="N15" s="434">
        <v>2680</v>
      </c>
      <c r="O15" s="383">
        <v>5</v>
      </c>
      <c r="P15" s="395">
        <v>6655</v>
      </c>
      <c r="Q15" s="396">
        <v>9335</v>
      </c>
    </row>
    <row r="16" spans="1:17" x14ac:dyDescent="0.25">
      <c r="A16" s="393" t="s">
        <v>144</v>
      </c>
      <c r="B16" s="394" t="s">
        <v>145</v>
      </c>
      <c r="C16" s="383"/>
      <c r="D16" s="434"/>
      <c r="E16" s="383"/>
      <c r="F16" s="434"/>
      <c r="G16" s="383"/>
      <c r="H16" s="398">
        <v>60500</v>
      </c>
      <c r="I16" s="399">
        <v>60500</v>
      </c>
      <c r="J16" s="376"/>
      <c r="K16" s="393" t="s">
        <v>146</v>
      </c>
      <c r="L16" s="394" t="s">
        <v>147</v>
      </c>
      <c r="M16" s="383">
        <v>5</v>
      </c>
      <c r="N16" s="434">
        <v>2680</v>
      </c>
      <c r="O16" s="383">
        <v>5</v>
      </c>
      <c r="P16" s="395">
        <v>6655</v>
      </c>
      <c r="Q16" s="396">
        <v>9335</v>
      </c>
    </row>
    <row r="17" spans="1:17" ht="16.5" customHeight="1" thickBot="1" x14ac:dyDescent="0.3">
      <c r="A17" s="393" t="s">
        <v>148</v>
      </c>
      <c r="B17" s="394" t="s">
        <v>261</v>
      </c>
      <c r="C17" s="383"/>
      <c r="D17" s="434"/>
      <c r="E17" s="383"/>
      <c r="F17" s="434"/>
      <c r="G17" s="383">
        <v>1775</v>
      </c>
      <c r="H17" s="449">
        <v>128.26</v>
      </c>
      <c r="I17" s="450">
        <v>227661.49999999997</v>
      </c>
      <c r="J17" s="376"/>
      <c r="K17" s="400" t="s">
        <v>149</v>
      </c>
      <c r="L17" s="401" t="s">
        <v>150</v>
      </c>
      <c r="M17" s="402">
        <v>5</v>
      </c>
      <c r="N17" s="436">
        <v>2680</v>
      </c>
      <c r="O17" s="402">
        <v>6</v>
      </c>
      <c r="P17" s="403">
        <v>7986</v>
      </c>
      <c r="Q17" s="404">
        <v>10666</v>
      </c>
    </row>
    <row r="18" spans="1:17" ht="16.5" customHeight="1" x14ac:dyDescent="0.25">
      <c r="A18" s="393" t="s">
        <v>151</v>
      </c>
      <c r="B18" s="394" t="s">
        <v>152</v>
      </c>
      <c r="C18" s="383"/>
      <c r="D18" s="434"/>
      <c r="E18" s="383"/>
      <c r="F18" s="434"/>
      <c r="G18" s="383">
        <v>8</v>
      </c>
      <c r="H18" s="398">
        <v>2541</v>
      </c>
      <c r="I18" s="399">
        <v>20328</v>
      </c>
      <c r="J18" s="376"/>
      <c r="K18" s="376"/>
      <c r="L18" s="376"/>
      <c r="M18" s="376"/>
      <c r="N18" s="376"/>
      <c r="O18" s="376"/>
      <c r="P18" s="376"/>
      <c r="Q18" s="376"/>
    </row>
    <row r="19" spans="1:17" ht="16.5" customHeight="1" x14ac:dyDescent="0.25">
      <c r="A19" s="393" t="s">
        <v>153</v>
      </c>
      <c r="B19" s="394" t="s">
        <v>154</v>
      </c>
      <c r="C19" s="383"/>
      <c r="D19" s="434"/>
      <c r="E19" s="383"/>
      <c r="F19" s="434"/>
      <c r="G19" s="383">
        <v>100</v>
      </c>
      <c r="H19" s="398">
        <v>2299</v>
      </c>
      <c r="I19" s="399">
        <v>229900</v>
      </c>
      <c r="J19" s="376"/>
      <c r="K19" s="376"/>
      <c r="L19" s="376"/>
      <c r="M19" s="376"/>
      <c r="N19" s="376"/>
      <c r="O19" s="376"/>
      <c r="P19" s="376"/>
      <c r="Q19" s="376"/>
    </row>
    <row r="20" spans="1:17" ht="16.5" customHeight="1" x14ac:dyDescent="0.25">
      <c r="A20" s="393" t="s">
        <v>155</v>
      </c>
      <c r="B20" s="394" t="s">
        <v>156</v>
      </c>
      <c r="C20" s="383"/>
      <c r="D20" s="434"/>
      <c r="E20" s="383"/>
      <c r="F20" s="434"/>
      <c r="G20" s="383">
        <v>200</v>
      </c>
      <c r="H20" s="398">
        <v>635.25</v>
      </c>
      <c r="I20" s="399">
        <v>127050</v>
      </c>
      <c r="J20" s="376"/>
      <c r="K20" s="376"/>
      <c r="L20" s="412" t="s">
        <v>269</v>
      </c>
      <c r="M20" s="413">
        <v>1100</v>
      </c>
      <c r="N20" s="376"/>
      <c r="O20" s="376"/>
      <c r="P20" s="376"/>
      <c r="Q20" s="376"/>
    </row>
    <row r="21" spans="1:17" ht="16.5" customHeight="1" x14ac:dyDescent="0.25">
      <c r="A21" s="393" t="s">
        <v>157</v>
      </c>
      <c r="B21" s="394" t="s">
        <v>158</v>
      </c>
      <c r="C21" s="383">
        <v>75</v>
      </c>
      <c r="D21" s="434">
        <v>40200</v>
      </c>
      <c r="E21" s="383">
        <v>90</v>
      </c>
      <c r="F21" s="434">
        <v>119790</v>
      </c>
      <c r="G21" s="383"/>
      <c r="H21" s="398"/>
      <c r="I21" s="399">
        <v>159990</v>
      </c>
      <c r="J21" s="376"/>
      <c r="K21" s="376"/>
      <c r="L21" s="412" t="s">
        <v>159</v>
      </c>
      <c r="M21" s="379">
        <v>1.21</v>
      </c>
      <c r="N21" s="376"/>
      <c r="O21" s="376"/>
      <c r="P21" s="376"/>
      <c r="Q21" s="376"/>
    </row>
    <row r="22" spans="1:17" ht="16.5" customHeight="1" x14ac:dyDescent="0.25">
      <c r="A22" s="393" t="s">
        <v>160</v>
      </c>
      <c r="B22" s="394" t="s">
        <v>161</v>
      </c>
      <c r="C22" s="383"/>
      <c r="D22" s="434"/>
      <c r="E22" s="383"/>
      <c r="F22" s="434"/>
      <c r="G22" s="383"/>
      <c r="H22" s="398"/>
      <c r="I22" s="399">
        <v>7260</v>
      </c>
      <c r="J22" s="376"/>
      <c r="K22" s="376"/>
      <c r="L22" s="412" t="s">
        <v>270</v>
      </c>
      <c r="M22" s="380">
        <v>1331</v>
      </c>
      <c r="N22" s="376"/>
      <c r="O22" s="376"/>
      <c r="P22" s="376"/>
      <c r="Q22" s="376"/>
    </row>
    <row r="23" spans="1:17" ht="16.5" customHeight="1" x14ac:dyDescent="0.25">
      <c r="A23" s="393" t="s">
        <v>162</v>
      </c>
      <c r="B23" s="394" t="s">
        <v>163</v>
      </c>
      <c r="C23" s="383"/>
      <c r="D23" s="434"/>
      <c r="E23" s="383"/>
      <c r="F23" s="434"/>
      <c r="G23" s="383"/>
      <c r="H23" s="398"/>
      <c r="I23" s="399" t="s">
        <v>164</v>
      </c>
      <c r="J23" s="376"/>
      <c r="K23" s="376"/>
      <c r="L23" s="376"/>
      <c r="M23" s="376"/>
      <c r="N23" s="376"/>
      <c r="O23" s="376"/>
      <c r="P23" s="376"/>
      <c r="Q23" s="376"/>
    </row>
    <row r="24" spans="1:17" ht="16.5" customHeight="1" thickBot="1" x14ac:dyDescent="0.3">
      <c r="A24" s="400" t="s">
        <v>165</v>
      </c>
      <c r="B24" s="401" t="s">
        <v>166</v>
      </c>
      <c r="C24" s="402">
        <v>4</v>
      </c>
      <c r="D24" s="436">
        <v>2144</v>
      </c>
      <c r="E24" s="402">
        <v>4</v>
      </c>
      <c r="F24" s="436">
        <v>5324</v>
      </c>
      <c r="G24" s="402"/>
      <c r="H24" s="409"/>
      <c r="I24" s="410">
        <v>7468</v>
      </c>
      <c r="J24" s="376"/>
      <c r="K24" s="376"/>
      <c r="L24" s="412" t="s">
        <v>267</v>
      </c>
      <c r="M24" s="433">
        <v>536</v>
      </c>
      <c r="N24" s="376"/>
      <c r="O24" s="376"/>
      <c r="P24" s="376"/>
      <c r="Q24" s="376"/>
    </row>
    <row r="25" spans="1:17" ht="16.5" customHeight="1" thickBot="1" x14ac:dyDescent="0.3">
      <c r="A25" s="381"/>
      <c r="B25" s="382"/>
      <c r="C25" s="379"/>
      <c r="D25" s="434"/>
      <c r="E25" s="379"/>
      <c r="F25" s="433"/>
      <c r="G25" s="379"/>
      <c r="H25" s="380"/>
      <c r="I25" s="380"/>
      <c r="J25" s="376"/>
      <c r="K25" s="376"/>
      <c r="L25" s="376"/>
      <c r="M25" s="376"/>
      <c r="N25" s="376"/>
      <c r="O25" s="376"/>
      <c r="P25" s="376"/>
      <c r="Q25" s="376"/>
    </row>
    <row r="26" spans="1:17" ht="16.5" thickBot="1" x14ac:dyDescent="0.3">
      <c r="A26" s="386">
        <v>3</v>
      </c>
      <c r="B26" s="406" t="s">
        <v>167</v>
      </c>
      <c r="C26" s="388">
        <v>34</v>
      </c>
      <c r="D26" s="435">
        <v>18224</v>
      </c>
      <c r="E26" s="388">
        <v>34</v>
      </c>
      <c r="F26" s="439">
        <v>45254</v>
      </c>
      <c r="G26" s="388"/>
      <c r="H26" s="411"/>
      <c r="I26" s="391">
        <v>207623</v>
      </c>
      <c r="J26" s="392"/>
      <c r="K26" s="392"/>
      <c r="L26" s="392"/>
      <c r="M26" s="392"/>
      <c r="N26" s="442"/>
      <c r="O26" s="392"/>
      <c r="P26" s="392"/>
      <c r="Q26" s="392"/>
    </row>
    <row r="27" spans="1:17" x14ac:dyDescent="0.25">
      <c r="A27" s="414" t="s">
        <v>168</v>
      </c>
      <c r="B27" s="415" t="s">
        <v>169</v>
      </c>
      <c r="C27" s="416"/>
      <c r="D27" s="437"/>
      <c r="E27" s="416"/>
      <c r="F27" s="437"/>
      <c r="G27" s="416">
        <v>1775</v>
      </c>
      <c r="H27" s="437">
        <v>72.599999999999994</v>
      </c>
      <c r="I27" s="417">
        <v>128864.99999999999</v>
      </c>
      <c r="J27" s="376"/>
      <c r="K27" s="376"/>
      <c r="L27" s="376"/>
      <c r="M27" s="376"/>
      <c r="N27" s="376"/>
      <c r="O27" s="376"/>
      <c r="P27" s="376"/>
      <c r="Q27" s="376"/>
    </row>
    <row r="28" spans="1:17" ht="15.75" customHeight="1" x14ac:dyDescent="0.25">
      <c r="A28" s="393" t="s">
        <v>170</v>
      </c>
      <c r="B28" s="418" t="s">
        <v>266</v>
      </c>
      <c r="C28" s="419"/>
      <c r="D28" s="434"/>
      <c r="E28" s="419"/>
      <c r="F28" s="440"/>
      <c r="G28" s="419">
        <v>50</v>
      </c>
      <c r="H28" s="440">
        <v>72.599999999999994</v>
      </c>
      <c r="I28" s="420">
        <v>3629.9999999999995</v>
      </c>
      <c r="J28" s="376"/>
      <c r="K28" s="376"/>
      <c r="L28" s="376"/>
      <c r="M28" s="376"/>
      <c r="N28" s="376"/>
      <c r="O28" s="376"/>
      <c r="P28" s="376"/>
      <c r="Q28" s="376"/>
    </row>
    <row r="29" spans="1:17" ht="15.75" customHeight="1" x14ac:dyDescent="0.25">
      <c r="A29" s="393" t="s">
        <v>172</v>
      </c>
      <c r="B29" s="421" t="s">
        <v>265</v>
      </c>
      <c r="C29" s="419"/>
      <c r="D29" s="434"/>
      <c r="E29" s="419"/>
      <c r="F29" s="440"/>
      <c r="G29" s="419">
        <v>100</v>
      </c>
      <c r="H29" s="440">
        <v>72.599999999999994</v>
      </c>
      <c r="I29" s="420">
        <v>7259.9999999999991</v>
      </c>
      <c r="J29" s="376"/>
      <c r="K29" s="376"/>
      <c r="L29" s="376"/>
      <c r="M29" s="376"/>
      <c r="N29" s="376"/>
      <c r="O29" s="376"/>
      <c r="P29" s="376"/>
      <c r="Q29" s="376"/>
    </row>
    <row r="30" spans="1:17" ht="15.75" customHeight="1" x14ac:dyDescent="0.25">
      <c r="A30" s="393" t="s">
        <v>174</v>
      </c>
      <c r="B30" s="421" t="s">
        <v>173</v>
      </c>
      <c r="C30" s="419"/>
      <c r="D30" s="434"/>
      <c r="E30" s="419"/>
      <c r="F30" s="440"/>
      <c r="G30" s="419">
        <v>30</v>
      </c>
      <c r="H30" s="440">
        <v>72.599999999999994</v>
      </c>
      <c r="I30" s="420">
        <v>2178</v>
      </c>
      <c r="J30" s="376"/>
      <c r="K30" s="376"/>
      <c r="L30" s="376"/>
      <c r="M30" s="376"/>
      <c r="N30" s="376"/>
      <c r="O30" s="376"/>
      <c r="P30" s="376"/>
      <c r="Q30" s="376"/>
    </row>
    <row r="31" spans="1:17" ht="15.75" customHeight="1" x14ac:dyDescent="0.25">
      <c r="A31" s="393" t="s">
        <v>176</v>
      </c>
      <c r="B31" s="418" t="s">
        <v>175</v>
      </c>
      <c r="C31" s="419"/>
      <c r="D31" s="434"/>
      <c r="E31" s="419"/>
      <c r="F31" s="440"/>
      <c r="G31" s="419">
        <v>50</v>
      </c>
      <c r="H31" s="440">
        <v>72.599999999999994</v>
      </c>
      <c r="I31" s="420">
        <v>3629.9999999999995</v>
      </c>
      <c r="J31" s="376"/>
      <c r="K31" s="376"/>
      <c r="L31" s="376"/>
      <c r="M31" s="376"/>
      <c r="N31" s="376"/>
      <c r="O31" s="376"/>
      <c r="P31" s="376"/>
      <c r="Q31" s="376"/>
    </row>
    <row r="32" spans="1:17" ht="15.75" customHeight="1" x14ac:dyDescent="0.25">
      <c r="A32" s="393" t="s">
        <v>178</v>
      </c>
      <c r="B32" s="418" t="s">
        <v>177</v>
      </c>
      <c r="C32" s="419"/>
      <c r="D32" s="434"/>
      <c r="E32" s="419"/>
      <c r="F32" s="440"/>
      <c r="G32" s="419">
        <v>675</v>
      </c>
      <c r="H32" s="440">
        <v>72.599999999999994</v>
      </c>
      <c r="I32" s="420">
        <v>49004.999999999993</v>
      </c>
    </row>
    <row r="33" spans="1:9" ht="15.75" customHeight="1" x14ac:dyDescent="0.25">
      <c r="A33" s="393" t="s">
        <v>180</v>
      </c>
      <c r="B33" s="418" t="s">
        <v>179</v>
      </c>
      <c r="C33" s="419"/>
      <c r="D33" s="434"/>
      <c r="E33" s="419"/>
      <c r="F33" s="440"/>
      <c r="G33" s="419">
        <v>270</v>
      </c>
      <c r="H33" s="440">
        <v>72.599999999999994</v>
      </c>
      <c r="I33" s="420">
        <v>19602</v>
      </c>
    </row>
    <row r="34" spans="1:9" ht="15.75" customHeight="1" thickBot="1" x14ac:dyDescent="0.3">
      <c r="A34" s="422" t="s">
        <v>257</v>
      </c>
      <c r="B34" s="423" t="s">
        <v>181</v>
      </c>
      <c r="C34" s="424"/>
      <c r="D34" s="438"/>
      <c r="E34" s="424"/>
      <c r="F34" s="441"/>
      <c r="G34" s="424">
        <v>600</v>
      </c>
      <c r="H34" s="441">
        <v>72.599999999999994</v>
      </c>
      <c r="I34" s="425">
        <v>43560</v>
      </c>
    </row>
    <row r="35" spans="1:9" ht="16.5" customHeight="1" thickTop="1" x14ac:dyDescent="0.25">
      <c r="A35" s="414" t="s">
        <v>182</v>
      </c>
      <c r="B35" s="415" t="s">
        <v>183</v>
      </c>
      <c r="C35" s="416"/>
      <c r="D35" s="437"/>
      <c r="E35" s="416"/>
      <c r="F35" s="437"/>
      <c r="G35" s="416">
        <v>1910</v>
      </c>
      <c r="H35" s="437">
        <v>8</v>
      </c>
      <c r="I35" s="417">
        <v>15280</v>
      </c>
    </row>
    <row r="36" spans="1:9" ht="15.75" customHeight="1" x14ac:dyDescent="0.25">
      <c r="A36" s="393" t="s">
        <v>184</v>
      </c>
      <c r="B36" s="421" t="s">
        <v>185</v>
      </c>
      <c r="C36" s="419"/>
      <c r="D36" s="434"/>
      <c r="E36" s="419"/>
      <c r="F36" s="440"/>
      <c r="G36" s="419">
        <v>1000</v>
      </c>
      <c r="H36" s="440">
        <v>8</v>
      </c>
      <c r="I36" s="420">
        <v>8000</v>
      </c>
    </row>
    <row r="37" spans="1:9" ht="15.75" customHeight="1" x14ac:dyDescent="0.25">
      <c r="A37" s="393" t="s">
        <v>186</v>
      </c>
      <c r="B37" s="418" t="s">
        <v>187</v>
      </c>
      <c r="C37" s="419"/>
      <c r="D37" s="434"/>
      <c r="E37" s="419"/>
      <c r="F37" s="440"/>
      <c r="G37" s="419">
        <v>160</v>
      </c>
      <c r="H37" s="440">
        <v>8</v>
      </c>
      <c r="I37" s="420">
        <v>1280</v>
      </c>
    </row>
    <row r="38" spans="1:9" ht="15.75" customHeight="1" x14ac:dyDescent="0.25">
      <c r="A38" s="393" t="s">
        <v>188</v>
      </c>
      <c r="B38" s="418" t="s">
        <v>189</v>
      </c>
      <c r="C38" s="419"/>
      <c r="D38" s="434"/>
      <c r="E38" s="419"/>
      <c r="F38" s="440"/>
      <c r="G38" s="419">
        <v>450</v>
      </c>
      <c r="H38" s="440">
        <v>8</v>
      </c>
      <c r="I38" s="420">
        <v>3600</v>
      </c>
    </row>
    <row r="39" spans="1:9" ht="15.75" customHeight="1" thickBot="1" x14ac:dyDescent="0.3">
      <c r="A39" s="422" t="s">
        <v>190</v>
      </c>
      <c r="B39" s="423" t="s">
        <v>191</v>
      </c>
      <c r="C39" s="424"/>
      <c r="D39" s="438"/>
      <c r="E39" s="424"/>
      <c r="F39" s="441"/>
      <c r="G39" s="424">
        <v>300</v>
      </c>
      <c r="H39" s="441">
        <v>8</v>
      </c>
      <c r="I39" s="425">
        <v>2400</v>
      </c>
    </row>
    <row r="40" spans="1:9" ht="16.5" customHeight="1" thickTop="1" x14ac:dyDescent="0.25">
      <c r="A40" s="393" t="s">
        <v>192</v>
      </c>
      <c r="B40" s="394" t="s">
        <v>195</v>
      </c>
      <c r="C40" s="383">
        <v>17</v>
      </c>
      <c r="D40" s="434">
        <v>9112</v>
      </c>
      <c r="E40" s="383">
        <v>17</v>
      </c>
      <c r="F40" s="434">
        <v>22627</v>
      </c>
      <c r="G40" s="383"/>
      <c r="H40" s="383"/>
      <c r="I40" s="399">
        <v>31739</v>
      </c>
    </row>
    <row r="41" spans="1:9" ht="15.75" customHeight="1" thickBot="1" x14ac:dyDescent="0.3">
      <c r="A41" s="400" t="s">
        <v>194</v>
      </c>
      <c r="B41" s="401" t="s">
        <v>197</v>
      </c>
      <c r="C41" s="402">
        <v>17</v>
      </c>
      <c r="D41" s="436">
        <v>9112</v>
      </c>
      <c r="E41" s="402">
        <v>17</v>
      </c>
      <c r="F41" s="436">
        <v>22627</v>
      </c>
      <c r="G41" s="402"/>
      <c r="H41" s="402"/>
      <c r="I41" s="410">
        <v>31739</v>
      </c>
    </row>
    <row r="42" spans="1:9" ht="16.5" thickBot="1" x14ac:dyDescent="0.3">
      <c r="A42" s="72"/>
      <c r="B42" s="73"/>
      <c r="C42" s="74"/>
      <c r="D42" s="209"/>
      <c r="E42" s="74"/>
      <c r="F42" s="209"/>
      <c r="G42" s="74"/>
      <c r="H42" s="74"/>
      <c r="I42" s="82"/>
    </row>
    <row r="44" spans="1:9" x14ac:dyDescent="0.25">
      <c r="A44" s="47"/>
      <c r="B44" s="48" t="s">
        <v>315</v>
      </c>
      <c r="C44" s="49">
        <f>C8+C15+C16+C26+C27</f>
        <v>118</v>
      </c>
      <c r="D44" s="206">
        <f>D8+D15+D16+D26+D27</f>
        <v>63248</v>
      </c>
      <c r="E44" s="49">
        <f>E8+E15+E16+E26+E27</f>
        <v>133</v>
      </c>
      <c r="F44" s="206">
        <f>F8+F15+F16+F26+F27</f>
        <v>177023</v>
      </c>
      <c r="G44" s="49"/>
      <c r="H44" s="49"/>
      <c r="I44" s="52">
        <f>I8+I15+I16+I26+I27</f>
        <v>1246480.5</v>
      </c>
    </row>
    <row r="45" spans="1:9" ht="16.5" hidden="1" thickBot="1" x14ac:dyDescent="0.3">
      <c r="A45" s="65" t="s">
        <v>116</v>
      </c>
      <c r="B45" s="66" t="s">
        <v>117</v>
      </c>
      <c r="C45" s="55">
        <v>5</v>
      </c>
      <c r="D45" s="207">
        <f>C45*M26</f>
        <v>0</v>
      </c>
      <c r="E45" s="55">
        <v>0</v>
      </c>
      <c r="F45" s="67">
        <f>E45*$M$24</f>
        <v>0</v>
      </c>
      <c r="I45" s="68">
        <f>D45+F45</f>
        <v>0</v>
      </c>
    </row>
    <row r="46" spans="1:9" ht="16.5" hidden="1" thickBot="1" x14ac:dyDescent="0.3">
      <c r="A46" s="65" t="s">
        <v>120</v>
      </c>
      <c r="B46" s="66" t="s">
        <v>121</v>
      </c>
      <c r="C46" s="55">
        <v>5</v>
      </c>
      <c r="D46" s="207">
        <f>C46*M26</f>
        <v>0</v>
      </c>
      <c r="E46" s="55">
        <v>5</v>
      </c>
      <c r="F46" s="67">
        <f>E46*$M$24</f>
        <v>2680</v>
      </c>
      <c r="I46" s="68">
        <f>D46+F46</f>
        <v>2680</v>
      </c>
    </row>
    <row r="47" spans="1:9" ht="16.5" hidden="1" thickBot="1" x14ac:dyDescent="0.3">
      <c r="A47" s="65" t="s">
        <v>124</v>
      </c>
      <c r="B47" s="66" t="s">
        <v>125</v>
      </c>
      <c r="C47" s="55">
        <v>15</v>
      </c>
      <c r="D47" s="207">
        <f>C47*M26</f>
        <v>0</v>
      </c>
      <c r="E47" s="55">
        <v>15</v>
      </c>
      <c r="F47" s="67">
        <f>E47*$M$24</f>
        <v>8040</v>
      </c>
      <c r="I47" s="68">
        <f>D47+F47</f>
        <v>8040</v>
      </c>
    </row>
    <row r="48" spans="1:9" ht="16.5" hidden="1" thickBot="1" x14ac:dyDescent="0.3">
      <c r="A48" s="72" t="s">
        <v>128</v>
      </c>
      <c r="B48" s="73" t="s">
        <v>129</v>
      </c>
      <c r="C48" s="243">
        <v>4</v>
      </c>
      <c r="D48" s="209">
        <f>C48*M26</f>
        <v>0</v>
      </c>
      <c r="E48" s="74">
        <v>4</v>
      </c>
      <c r="F48" s="75">
        <f>E48*$M$24</f>
        <v>2144</v>
      </c>
      <c r="I48" s="76">
        <f>D48+F48</f>
        <v>2144</v>
      </c>
    </row>
    <row r="51" spans="1:9" hidden="1" x14ac:dyDescent="0.25">
      <c r="A51" s="65" t="s">
        <v>137</v>
      </c>
      <c r="B51" s="66" t="s">
        <v>138</v>
      </c>
      <c r="C51" s="55">
        <v>0</v>
      </c>
      <c r="D51" s="207">
        <f>C51*M26</f>
        <v>0</v>
      </c>
      <c r="E51" s="55">
        <v>15</v>
      </c>
      <c r="F51" s="67">
        <f>E51*$M$24</f>
        <v>8040</v>
      </c>
      <c r="I51" s="68">
        <f>D51+F51</f>
        <v>8040</v>
      </c>
    </row>
    <row r="52" spans="1:9" hidden="1" x14ac:dyDescent="0.25">
      <c r="A52" s="65" t="s">
        <v>139</v>
      </c>
      <c r="B52" s="66" t="s">
        <v>140</v>
      </c>
      <c r="C52" s="55">
        <v>2</v>
      </c>
      <c r="D52" s="207">
        <f>C52*M26</f>
        <v>0</v>
      </c>
      <c r="E52" s="55">
        <v>10</v>
      </c>
      <c r="F52" s="67">
        <f>E52*$M$24</f>
        <v>5360</v>
      </c>
      <c r="I52" s="68">
        <f>D52+F52</f>
        <v>5360</v>
      </c>
    </row>
    <row r="53" spans="1:9" hidden="1" x14ac:dyDescent="0.25">
      <c r="A53" s="65" t="s">
        <v>142</v>
      </c>
      <c r="B53" s="66" t="s">
        <v>143</v>
      </c>
      <c r="C53" s="55">
        <v>5</v>
      </c>
      <c r="D53" s="207">
        <f>C53*M26</f>
        <v>0</v>
      </c>
      <c r="E53" s="55">
        <v>5</v>
      </c>
      <c r="F53" s="67">
        <f>E53*$M$24</f>
        <v>2680</v>
      </c>
      <c r="I53" s="68">
        <f>D53+F53</f>
        <v>2680</v>
      </c>
    </row>
    <row r="54" spans="1:9" hidden="1" x14ac:dyDescent="0.25">
      <c r="A54" s="65" t="s">
        <v>146</v>
      </c>
      <c r="B54" s="66" t="s">
        <v>147</v>
      </c>
      <c r="C54" s="55">
        <v>5</v>
      </c>
      <c r="D54" s="207">
        <f>C54*M26</f>
        <v>0</v>
      </c>
      <c r="E54" s="55">
        <v>5</v>
      </c>
      <c r="F54" s="67">
        <f>E54*$M$24</f>
        <v>2680</v>
      </c>
      <c r="I54" s="68">
        <f>D54+F54</f>
        <v>2680</v>
      </c>
    </row>
    <row r="55" spans="1:9" ht="16.5" hidden="1" thickBot="1" x14ac:dyDescent="0.3">
      <c r="A55" s="72" t="s">
        <v>149</v>
      </c>
      <c r="B55" s="73" t="s">
        <v>150</v>
      </c>
      <c r="C55" s="74">
        <v>5</v>
      </c>
      <c r="D55" s="209">
        <f>C55*M26</f>
        <v>0</v>
      </c>
      <c r="E55" s="74">
        <v>6</v>
      </c>
      <c r="F55" s="75">
        <f>E55*$M$24</f>
        <v>3216</v>
      </c>
      <c r="I55" s="76">
        <f>D55+F55</f>
        <v>3216</v>
      </c>
    </row>
  </sheetData>
  <mergeCells count="4">
    <mergeCell ref="C1:F1"/>
    <mergeCell ref="C2:D2"/>
    <mergeCell ref="E2:F2"/>
    <mergeCell ref="M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80" zoomScaleNormal="80" workbookViewId="0">
      <selection activeCell="L44" sqref="L44"/>
    </sheetView>
  </sheetViews>
  <sheetFormatPr defaultRowHeight="15.75" x14ac:dyDescent="0.25"/>
  <cols>
    <col min="1" max="1" width="10.7109375" style="50" customWidth="1"/>
    <col min="2" max="2" width="62.7109375" style="50" customWidth="1"/>
    <col min="3" max="3" width="12.7109375" style="50" customWidth="1"/>
    <col min="4" max="4" width="15.28515625" style="116" bestFit="1" customWidth="1"/>
    <col min="5" max="5" width="12.7109375" style="50" customWidth="1"/>
    <col min="6" max="6" width="15.28515625" style="116" bestFit="1" customWidth="1"/>
    <col min="7" max="7" width="19.5703125" style="50" customWidth="1"/>
    <col min="8" max="8" width="26.7109375" style="50" customWidth="1"/>
    <col min="9" max="9" width="15.7109375" style="50" customWidth="1"/>
    <col min="10" max="11" width="10.7109375" style="50" customWidth="1"/>
    <col min="12" max="12" width="50.85546875" style="50" bestFit="1" customWidth="1"/>
    <col min="13" max="13" width="12.7109375" style="50" customWidth="1"/>
    <col min="14" max="14" width="14.7109375" style="116" customWidth="1"/>
    <col min="15" max="15" width="12.7109375" style="50" customWidth="1"/>
    <col min="16" max="16" width="14.85546875" style="50" customWidth="1"/>
    <col min="17" max="17" width="15.7109375" style="50" customWidth="1"/>
    <col min="18" max="16384" width="9.140625" style="50"/>
  </cols>
  <sheetData>
    <row r="1" spans="1:17" x14ac:dyDescent="0.25">
      <c r="A1" s="47"/>
      <c r="B1" s="48"/>
      <c r="C1" s="51"/>
      <c r="D1" s="206"/>
      <c r="E1" s="51"/>
      <c r="F1" s="206"/>
      <c r="G1" s="51"/>
      <c r="H1" s="51"/>
      <c r="I1" s="51"/>
    </row>
    <row r="2" spans="1:17" x14ac:dyDescent="0.25">
      <c r="A2" s="47"/>
      <c r="B2" s="48"/>
      <c r="C2" s="461" t="s">
        <v>104</v>
      </c>
      <c r="D2" s="461"/>
      <c r="E2" s="461"/>
      <c r="F2" s="461"/>
      <c r="G2" s="51" t="s">
        <v>105</v>
      </c>
      <c r="H2" s="51" t="s">
        <v>106</v>
      </c>
      <c r="I2" s="51" t="s">
        <v>107</v>
      </c>
    </row>
    <row r="3" spans="1:17" x14ac:dyDescent="0.25">
      <c r="A3" s="47"/>
      <c r="B3" s="48"/>
      <c r="C3" s="461" t="s">
        <v>108</v>
      </c>
      <c r="D3" s="461"/>
      <c r="E3" s="461" t="s">
        <v>109</v>
      </c>
      <c r="F3" s="461"/>
      <c r="G3" s="51"/>
      <c r="H3" s="51"/>
      <c r="I3" s="51"/>
      <c r="M3" s="461" t="s">
        <v>104</v>
      </c>
      <c r="N3" s="461"/>
      <c r="O3" s="461"/>
      <c r="P3" s="461"/>
    </row>
    <row r="4" spans="1:17" x14ac:dyDescent="0.25">
      <c r="A4" s="47"/>
      <c r="B4" s="48"/>
      <c r="C4" s="51" t="s">
        <v>268</v>
      </c>
      <c r="D4" s="206" t="s">
        <v>110</v>
      </c>
      <c r="E4" s="51" t="s">
        <v>268</v>
      </c>
      <c r="F4" s="206" t="s">
        <v>110</v>
      </c>
      <c r="G4" s="51"/>
      <c r="H4" s="51"/>
      <c r="I4" s="51"/>
      <c r="M4" s="51" t="s">
        <v>108</v>
      </c>
      <c r="N4" s="206"/>
      <c r="O4" s="51" t="s">
        <v>109</v>
      </c>
      <c r="P4" s="51"/>
      <c r="Q4" s="51" t="s">
        <v>107</v>
      </c>
    </row>
    <row r="5" spans="1:17" x14ac:dyDescent="0.25">
      <c r="A5" s="47"/>
      <c r="B5" s="48" t="s">
        <v>111</v>
      </c>
      <c r="C5" s="51">
        <f>C8+C16+C27+M7+M13</f>
        <v>196</v>
      </c>
      <c r="D5" s="206">
        <f>D8+D16+D27+N7+N13</f>
        <v>105056</v>
      </c>
      <c r="E5" s="51">
        <f>E8+E16+E27+O7+O13</f>
        <v>224</v>
      </c>
      <c r="F5" s="206">
        <f>F8+F16+F27+P7+P13</f>
        <v>298144</v>
      </c>
      <c r="G5" s="51"/>
      <c r="H5" s="51"/>
      <c r="I5" s="52">
        <f>I8+I16+I27+Q7+Q13</f>
        <v>1231457.1000000001</v>
      </c>
      <c r="M5" s="51" t="s">
        <v>268</v>
      </c>
      <c r="N5" s="206" t="s">
        <v>110</v>
      </c>
      <c r="O5" s="51" t="s">
        <v>268</v>
      </c>
      <c r="P5" s="51" t="s">
        <v>110</v>
      </c>
    </row>
    <row r="6" spans="1:17" ht="16.5" thickBot="1" x14ac:dyDescent="0.3">
      <c r="A6" s="53"/>
      <c r="B6" s="54"/>
      <c r="C6" s="55"/>
      <c r="D6" s="207"/>
      <c r="E6" s="55"/>
      <c r="F6" s="206"/>
      <c r="G6" s="55"/>
      <c r="H6" s="55"/>
      <c r="I6" s="55"/>
      <c r="K6" s="56"/>
    </row>
    <row r="7" spans="1:17" ht="16.5" thickBot="1" x14ac:dyDescent="0.3">
      <c r="A7" s="53" t="s">
        <v>112</v>
      </c>
      <c r="B7" s="54" t="s">
        <v>113</v>
      </c>
      <c r="C7" s="55"/>
      <c r="D7" s="207"/>
      <c r="E7" s="55"/>
      <c r="F7" s="206"/>
      <c r="G7" s="55"/>
      <c r="H7" s="55"/>
      <c r="I7" s="55"/>
      <c r="J7" s="57"/>
      <c r="K7" s="58">
        <v>4</v>
      </c>
      <c r="L7" s="59" t="s">
        <v>114</v>
      </c>
      <c r="M7" s="60">
        <f>SUM(M8:M11)</f>
        <v>29</v>
      </c>
      <c r="N7" s="208">
        <f>M7*M25</f>
        <v>15544</v>
      </c>
      <c r="O7" s="60">
        <f>SUM(O8:O11)</f>
        <v>24</v>
      </c>
      <c r="P7" s="61">
        <f>O7*$M$23</f>
        <v>31944</v>
      </c>
      <c r="Q7" s="62">
        <f>N7+P7</f>
        <v>47488</v>
      </c>
    </row>
    <row r="8" spans="1:17" ht="16.5" thickBot="1" x14ac:dyDescent="0.3">
      <c r="A8" s="58">
        <v>1</v>
      </c>
      <c r="B8" s="59" t="s">
        <v>115</v>
      </c>
      <c r="C8" s="60">
        <f>SUM(C9:C14)</f>
        <v>37</v>
      </c>
      <c r="D8" s="208">
        <f>C8*M25</f>
        <v>19832</v>
      </c>
      <c r="E8" s="60">
        <f>SUM(E9:E14)</f>
        <v>31</v>
      </c>
      <c r="F8" s="208">
        <f t="shared" ref="F8:F14" si="0">E8*$M$23</f>
        <v>41261</v>
      </c>
      <c r="G8" s="60"/>
      <c r="H8" s="60"/>
      <c r="I8" s="63">
        <f>D8+F8</f>
        <v>61093</v>
      </c>
      <c r="J8" s="64"/>
      <c r="K8" s="65" t="s">
        <v>116</v>
      </c>
      <c r="L8" s="66" t="s">
        <v>117</v>
      </c>
      <c r="M8" s="55">
        <v>5</v>
      </c>
      <c r="N8" s="207">
        <f>M8*M25</f>
        <v>2680</v>
      </c>
      <c r="O8" s="55">
        <v>0</v>
      </c>
      <c r="P8" s="67">
        <f>O8*$M$23</f>
        <v>0</v>
      </c>
      <c r="Q8" s="68">
        <f>N8+P8</f>
        <v>2680</v>
      </c>
    </row>
    <row r="9" spans="1:17" x14ac:dyDescent="0.25">
      <c r="A9" s="65" t="s">
        <v>118</v>
      </c>
      <c r="B9" s="69" t="s">
        <v>119</v>
      </c>
      <c r="C9" s="55">
        <v>5</v>
      </c>
      <c r="D9" s="207">
        <f t="shared" ref="D9:D14" si="1">C9*M$25</f>
        <v>2680</v>
      </c>
      <c r="E9" s="55">
        <v>5</v>
      </c>
      <c r="F9" s="207">
        <f t="shared" si="0"/>
        <v>6655</v>
      </c>
      <c r="G9" s="55"/>
      <c r="H9" s="55"/>
      <c r="I9" s="71">
        <f t="shared" ref="I9:I14" si="2">D9+F9</f>
        <v>9335</v>
      </c>
      <c r="K9" s="65" t="s">
        <v>120</v>
      </c>
      <c r="L9" s="66" t="s">
        <v>121</v>
      </c>
      <c r="M9" s="55">
        <v>5</v>
      </c>
      <c r="N9" s="207">
        <f>M9*M25</f>
        <v>2680</v>
      </c>
      <c r="O9" s="55">
        <v>5</v>
      </c>
      <c r="P9" s="67">
        <f>O9*$M$23</f>
        <v>6655</v>
      </c>
      <c r="Q9" s="68">
        <f>N9+P9</f>
        <v>9335</v>
      </c>
    </row>
    <row r="10" spans="1:17" x14ac:dyDescent="0.25">
      <c r="A10" s="65" t="s">
        <v>122</v>
      </c>
      <c r="B10" s="69" t="s">
        <v>123</v>
      </c>
      <c r="C10" s="55">
        <v>2</v>
      </c>
      <c r="D10" s="207">
        <f t="shared" si="1"/>
        <v>1072</v>
      </c>
      <c r="E10" s="55">
        <v>1</v>
      </c>
      <c r="F10" s="207">
        <f t="shared" si="0"/>
        <v>1331</v>
      </c>
      <c r="G10" s="55"/>
      <c r="H10" s="55"/>
      <c r="I10" s="71">
        <f t="shared" si="2"/>
        <v>2403</v>
      </c>
      <c r="K10" s="65" t="s">
        <v>124</v>
      </c>
      <c r="L10" s="66" t="s">
        <v>125</v>
      </c>
      <c r="M10" s="55">
        <v>15</v>
      </c>
      <c r="N10" s="207">
        <f>M10*M25</f>
        <v>8040</v>
      </c>
      <c r="O10" s="55">
        <v>15</v>
      </c>
      <c r="P10" s="67">
        <f>O10*$M$23</f>
        <v>19965</v>
      </c>
      <c r="Q10" s="68">
        <f>N10+P10</f>
        <v>28005</v>
      </c>
    </row>
    <row r="11" spans="1:17" ht="16.5" thickBot="1" x14ac:dyDescent="0.3">
      <c r="A11" s="65" t="s">
        <v>126</v>
      </c>
      <c r="B11" s="69" t="s">
        <v>127</v>
      </c>
      <c r="C11" s="55">
        <v>10</v>
      </c>
      <c r="D11" s="207">
        <f t="shared" si="1"/>
        <v>5360</v>
      </c>
      <c r="E11" s="55">
        <v>10</v>
      </c>
      <c r="F11" s="207">
        <f t="shared" si="0"/>
        <v>13310</v>
      </c>
      <c r="G11" s="55"/>
      <c r="H11" s="55"/>
      <c r="I11" s="71">
        <f t="shared" si="2"/>
        <v>18670</v>
      </c>
      <c r="K11" s="72" t="s">
        <v>128</v>
      </c>
      <c r="L11" s="73" t="s">
        <v>129</v>
      </c>
      <c r="M11" s="243">
        <v>4</v>
      </c>
      <c r="N11" s="209">
        <f>M11*M25</f>
        <v>2144</v>
      </c>
      <c r="O11" s="74">
        <v>4</v>
      </c>
      <c r="P11" s="75">
        <f>O11*$M$23</f>
        <v>5324</v>
      </c>
      <c r="Q11" s="76">
        <f>N11+P11</f>
        <v>7468</v>
      </c>
    </row>
    <row r="12" spans="1:17" ht="16.5" thickBot="1" x14ac:dyDescent="0.3">
      <c r="A12" s="65" t="s">
        <v>130</v>
      </c>
      <c r="B12" s="69" t="s">
        <v>131</v>
      </c>
      <c r="C12" s="55">
        <v>5</v>
      </c>
      <c r="D12" s="207">
        <f t="shared" si="1"/>
        <v>2680</v>
      </c>
      <c r="E12" s="55">
        <v>5</v>
      </c>
      <c r="F12" s="207">
        <f t="shared" si="0"/>
        <v>6655</v>
      </c>
      <c r="G12" s="55"/>
      <c r="H12" s="55"/>
      <c r="I12" s="71">
        <f t="shared" si="2"/>
        <v>9335</v>
      </c>
      <c r="K12" s="47"/>
      <c r="L12" s="48"/>
      <c r="M12" s="51"/>
      <c r="N12" s="207"/>
      <c r="O12" s="51"/>
      <c r="P12" s="67"/>
      <c r="Q12" s="67"/>
    </row>
    <row r="13" spans="1:17" ht="16.5" thickBot="1" x14ac:dyDescent="0.3">
      <c r="A13" s="65" t="s">
        <v>132</v>
      </c>
      <c r="B13" s="69" t="s">
        <v>133</v>
      </c>
      <c r="C13" s="55">
        <v>10</v>
      </c>
      <c r="D13" s="207">
        <f t="shared" si="1"/>
        <v>5360</v>
      </c>
      <c r="E13" s="55">
        <v>5</v>
      </c>
      <c r="F13" s="207">
        <f t="shared" si="0"/>
        <v>6655</v>
      </c>
      <c r="G13" s="55"/>
      <c r="H13" s="55"/>
      <c r="I13" s="71">
        <f t="shared" si="2"/>
        <v>12015</v>
      </c>
      <c r="K13" s="77">
        <v>5</v>
      </c>
      <c r="L13" s="78" t="s">
        <v>134</v>
      </c>
      <c r="M13" s="60">
        <f>SUM(M14:M18)</f>
        <v>17</v>
      </c>
      <c r="N13" s="208">
        <f>M13*M25</f>
        <v>9112</v>
      </c>
      <c r="O13" s="60">
        <f>SUM(O14:O18)</f>
        <v>41</v>
      </c>
      <c r="P13" s="79">
        <f t="shared" ref="P13:P18" si="3">O13*$M$23</f>
        <v>54571</v>
      </c>
      <c r="Q13" s="62">
        <f t="shared" ref="Q13:Q18" si="4">N13+P13</f>
        <v>63683</v>
      </c>
    </row>
    <row r="14" spans="1:17" ht="16.5" thickBot="1" x14ac:dyDescent="0.3">
      <c r="A14" s="72" t="s">
        <v>135</v>
      </c>
      <c r="B14" s="80" t="s">
        <v>136</v>
      </c>
      <c r="C14" s="74">
        <v>5</v>
      </c>
      <c r="D14" s="209">
        <f t="shared" si="1"/>
        <v>2680</v>
      </c>
      <c r="E14" s="74">
        <v>5</v>
      </c>
      <c r="F14" s="209">
        <f t="shared" si="0"/>
        <v>6655</v>
      </c>
      <c r="G14" s="74"/>
      <c r="H14" s="74"/>
      <c r="I14" s="82">
        <f t="shared" si="2"/>
        <v>9335</v>
      </c>
      <c r="K14" s="65" t="s">
        <v>137</v>
      </c>
      <c r="L14" s="66" t="s">
        <v>138</v>
      </c>
      <c r="M14" s="55">
        <v>0</v>
      </c>
      <c r="N14" s="207">
        <f>M14*M25</f>
        <v>0</v>
      </c>
      <c r="O14" s="55">
        <v>15</v>
      </c>
      <c r="P14" s="67">
        <f t="shared" si="3"/>
        <v>19965</v>
      </c>
      <c r="Q14" s="68">
        <f t="shared" si="4"/>
        <v>19965</v>
      </c>
    </row>
    <row r="15" spans="1:17" ht="16.5" thickBot="1" x14ac:dyDescent="0.3">
      <c r="A15" s="47"/>
      <c r="B15" s="48"/>
      <c r="C15" s="51"/>
      <c r="D15" s="207"/>
      <c r="E15" s="51"/>
      <c r="F15" s="206"/>
      <c r="G15" s="51"/>
      <c r="H15" s="51"/>
      <c r="I15" s="51"/>
      <c r="K15" s="65" t="s">
        <v>139</v>
      </c>
      <c r="L15" s="66" t="s">
        <v>140</v>
      </c>
      <c r="M15" s="55">
        <v>2</v>
      </c>
      <c r="N15" s="207">
        <f>M15*M25</f>
        <v>1072</v>
      </c>
      <c r="O15" s="55">
        <v>10</v>
      </c>
      <c r="P15" s="67">
        <f t="shared" si="3"/>
        <v>13310</v>
      </c>
      <c r="Q15" s="68">
        <f t="shared" si="4"/>
        <v>14382</v>
      </c>
    </row>
    <row r="16" spans="1:17" ht="16.5" thickBot="1" x14ac:dyDescent="0.3">
      <c r="A16" s="58">
        <v>2</v>
      </c>
      <c r="B16" s="78" t="s">
        <v>141</v>
      </c>
      <c r="C16" s="60">
        <f>SUM(C17:C25)</f>
        <v>79</v>
      </c>
      <c r="D16" s="208">
        <f>C16*M25</f>
        <v>42344</v>
      </c>
      <c r="E16" s="60">
        <f>SUM(E17:E25)</f>
        <v>94</v>
      </c>
      <c r="F16" s="212">
        <f>E16*$M$23</f>
        <v>125114</v>
      </c>
      <c r="G16" s="60"/>
      <c r="H16" s="60"/>
      <c r="I16" s="63">
        <f>SUM(I17:I25)</f>
        <v>728184.1</v>
      </c>
      <c r="J16" s="64"/>
      <c r="K16" s="65" t="s">
        <v>142</v>
      </c>
      <c r="L16" s="66" t="s">
        <v>143</v>
      </c>
      <c r="M16" s="55">
        <v>5</v>
      </c>
      <c r="N16" s="207">
        <f>M16*M25</f>
        <v>2680</v>
      </c>
      <c r="O16" s="55">
        <v>5</v>
      </c>
      <c r="P16" s="67">
        <f t="shared" si="3"/>
        <v>6655</v>
      </c>
      <c r="Q16" s="68">
        <f t="shared" si="4"/>
        <v>9335</v>
      </c>
    </row>
    <row r="17" spans="1:17" x14ac:dyDescent="0.25">
      <c r="A17" s="65" t="s">
        <v>144</v>
      </c>
      <c r="B17" s="66" t="s">
        <v>145</v>
      </c>
      <c r="C17" s="55"/>
      <c r="D17" s="207"/>
      <c r="E17" s="55"/>
      <c r="F17" s="207"/>
      <c r="G17" s="55"/>
      <c r="H17" s="70">
        <v>60500</v>
      </c>
      <c r="I17" s="71">
        <v>60500</v>
      </c>
      <c r="K17" s="65" t="s">
        <v>146</v>
      </c>
      <c r="L17" s="66" t="s">
        <v>147</v>
      </c>
      <c r="M17" s="55">
        <v>5</v>
      </c>
      <c r="N17" s="207">
        <f>M17*M25</f>
        <v>2680</v>
      </c>
      <c r="O17" s="55">
        <v>5</v>
      </c>
      <c r="P17" s="67">
        <f t="shared" si="3"/>
        <v>6655</v>
      </c>
      <c r="Q17" s="68">
        <f t="shared" si="4"/>
        <v>9335</v>
      </c>
    </row>
    <row r="18" spans="1:17" ht="16.5" thickBot="1" x14ac:dyDescent="0.3">
      <c r="A18" s="65" t="s">
        <v>148</v>
      </c>
      <c r="B18" s="66" t="s">
        <v>261</v>
      </c>
      <c r="C18" s="55"/>
      <c r="D18" s="207"/>
      <c r="E18" s="55"/>
      <c r="F18" s="207"/>
      <c r="G18" s="55">
        <f>SUM(G28)</f>
        <v>3685</v>
      </c>
      <c r="H18" s="241">
        <f>106*1.21</f>
        <v>128.26</v>
      </c>
      <c r="I18" s="242">
        <f>G18*H18</f>
        <v>472638.1</v>
      </c>
      <c r="K18" s="72" t="s">
        <v>149</v>
      </c>
      <c r="L18" s="73" t="s">
        <v>150</v>
      </c>
      <c r="M18" s="74">
        <v>5</v>
      </c>
      <c r="N18" s="209">
        <f>M18*M25</f>
        <v>2680</v>
      </c>
      <c r="O18" s="74">
        <v>6</v>
      </c>
      <c r="P18" s="75">
        <f t="shared" si="3"/>
        <v>7986</v>
      </c>
      <c r="Q18" s="76">
        <f t="shared" si="4"/>
        <v>10666</v>
      </c>
    </row>
    <row r="19" spans="1:17" x14ac:dyDescent="0.25">
      <c r="A19" s="65" t="s">
        <v>151</v>
      </c>
      <c r="B19" s="66" t="s">
        <v>152</v>
      </c>
      <c r="C19" s="55"/>
      <c r="D19" s="207"/>
      <c r="E19" s="55"/>
      <c r="F19" s="207"/>
      <c r="G19" s="55">
        <v>8</v>
      </c>
      <c r="H19" s="70">
        <f>2100*1.21</f>
        <v>2541</v>
      </c>
      <c r="I19" s="71">
        <f>H19*G19</f>
        <v>20328</v>
      </c>
    </row>
    <row r="20" spans="1:17" x14ac:dyDescent="0.25">
      <c r="A20" s="65" t="s">
        <v>153</v>
      </c>
      <c r="B20" s="66" t="s">
        <v>154</v>
      </c>
      <c r="C20" s="55"/>
      <c r="D20" s="207"/>
      <c r="E20" s="55"/>
      <c r="F20" s="207"/>
      <c r="G20" s="55">
        <v>0</v>
      </c>
      <c r="H20" s="70">
        <f>1900*1.21</f>
        <v>2299</v>
      </c>
      <c r="I20" s="71">
        <f>H20*G20</f>
        <v>0</v>
      </c>
    </row>
    <row r="21" spans="1:17" x14ac:dyDescent="0.25">
      <c r="A21" s="65" t="s">
        <v>155</v>
      </c>
      <c r="B21" s="66" t="s">
        <v>156</v>
      </c>
      <c r="C21" s="55"/>
      <c r="D21" s="207"/>
      <c r="E21" s="55"/>
      <c r="F21" s="207"/>
      <c r="G21" s="55">
        <v>0</v>
      </c>
      <c r="H21" s="70">
        <f>525*1.21</f>
        <v>635.25</v>
      </c>
      <c r="I21" s="71">
        <f>H21*G21</f>
        <v>0</v>
      </c>
      <c r="L21" s="84" t="s">
        <v>269</v>
      </c>
      <c r="M21" s="85">
        <v>1100</v>
      </c>
    </row>
    <row r="22" spans="1:17" x14ac:dyDescent="0.25">
      <c r="A22" s="65" t="s">
        <v>157</v>
      </c>
      <c r="B22" s="66" t="s">
        <v>158</v>
      </c>
      <c r="C22" s="55">
        <v>75</v>
      </c>
      <c r="D22" s="207">
        <f>C22*M25</f>
        <v>40200</v>
      </c>
      <c r="E22" s="55">
        <v>90</v>
      </c>
      <c r="F22" s="207">
        <f>E22*$M$23</f>
        <v>119790</v>
      </c>
      <c r="G22" s="55"/>
      <c r="H22" s="70"/>
      <c r="I22" s="71">
        <f>D22+F22</f>
        <v>159990</v>
      </c>
      <c r="L22" s="84" t="s">
        <v>159</v>
      </c>
      <c r="M22" s="99">
        <v>1.21</v>
      </c>
    </row>
    <row r="23" spans="1:17" x14ac:dyDescent="0.25">
      <c r="A23" s="65" t="s">
        <v>160</v>
      </c>
      <c r="B23" s="66" t="s">
        <v>161</v>
      </c>
      <c r="C23" s="55"/>
      <c r="D23" s="207"/>
      <c r="E23" s="55"/>
      <c r="F23" s="207"/>
      <c r="G23" s="55"/>
      <c r="H23" s="70"/>
      <c r="I23" s="71">
        <f>6000*1.21</f>
        <v>7260</v>
      </c>
      <c r="L23" s="84" t="s">
        <v>270</v>
      </c>
      <c r="M23" s="52">
        <f>M21*M22</f>
        <v>1331</v>
      </c>
    </row>
    <row r="24" spans="1:17" x14ac:dyDescent="0.25">
      <c r="A24" s="65" t="s">
        <v>162</v>
      </c>
      <c r="B24" s="66" t="s">
        <v>163</v>
      </c>
      <c r="C24" s="55"/>
      <c r="D24" s="207"/>
      <c r="E24" s="55"/>
      <c r="F24" s="207"/>
      <c r="G24" s="55"/>
      <c r="H24" s="70"/>
      <c r="I24" s="71" t="s">
        <v>164</v>
      </c>
    </row>
    <row r="25" spans="1:17" ht="16.5" thickBot="1" x14ac:dyDescent="0.3">
      <c r="A25" s="72" t="s">
        <v>165</v>
      </c>
      <c r="B25" s="73" t="s">
        <v>166</v>
      </c>
      <c r="C25" s="74">
        <v>4</v>
      </c>
      <c r="D25" s="209">
        <f>C25*M25</f>
        <v>2144</v>
      </c>
      <c r="E25" s="74">
        <v>4</v>
      </c>
      <c r="F25" s="209">
        <f>E25*$M$23</f>
        <v>5324</v>
      </c>
      <c r="G25" s="74"/>
      <c r="H25" s="81"/>
      <c r="I25" s="82">
        <f>D25+F25</f>
        <v>7468</v>
      </c>
      <c r="L25" s="84" t="s">
        <v>267</v>
      </c>
      <c r="M25" s="206">
        <f>2144/4</f>
        <v>536</v>
      </c>
    </row>
    <row r="26" spans="1:17" ht="16.5" thickBot="1" x14ac:dyDescent="0.3">
      <c r="A26" s="53"/>
      <c r="B26" s="54"/>
      <c r="C26" s="51"/>
      <c r="D26" s="207"/>
      <c r="E26" s="51"/>
      <c r="F26" s="206"/>
      <c r="G26" s="51"/>
      <c r="H26" s="52"/>
      <c r="I26" s="52"/>
    </row>
    <row r="27" spans="1:17" ht="16.5" thickBot="1" x14ac:dyDescent="0.3">
      <c r="A27" s="58">
        <v>3</v>
      </c>
      <c r="B27" s="78" t="s">
        <v>167</v>
      </c>
      <c r="C27" s="60">
        <f>SUM(C28:C41)</f>
        <v>34</v>
      </c>
      <c r="D27" s="208">
        <f>C27*M25</f>
        <v>18224</v>
      </c>
      <c r="E27" s="60">
        <f>SUM(E28:E41)</f>
        <v>34</v>
      </c>
      <c r="F27" s="212">
        <f>E27*$M$23</f>
        <v>45254</v>
      </c>
      <c r="G27" s="60"/>
      <c r="H27" s="83"/>
      <c r="I27" s="63">
        <f>I28+I40+I41</f>
        <v>331009</v>
      </c>
      <c r="J27" s="64"/>
      <c r="K27" s="64"/>
      <c r="L27" s="64"/>
      <c r="M27" s="64"/>
      <c r="N27" s="215"/>
      <c r="O27" s="64"/>
      <c r="P27" s="64"/>
      <c r="Q27" s="64"/>
    </row>
    <row r="28" spans="1:17" x14ac:dyDescent="0.25">
      <c r="A28" s="86" t="s">
        <v>168</v>
      </c>
      <c r="B28" s="87" t="s">
        <v>169</v>
      </c>
      <c r="C28" s="88"/>
      <c r="D28" s="210"/>
      <c r="E28" s="88"/>
      <c r="F28" s="210"/>
      <c r="G28" s="88">
        <f>SUM(G29:G38)</f>
        <v>3685</v>
      </c>
      <c r="H28" s="210">
        <f t="shared" ref="H28:H34" si="5">60*1.21</f>
        <v>72.599999999999994</v>
      </c>
      <c r="I28" s="89">
        <f>G28*H28</f>
        <v>267531</v>
      </c>
    </row>
    <row r="29" spans="1:17" x14ac:dyDescent="0.25">
      <c r="A29" s="65" t="s">
        <v>170</v>
      </c>
      <c r="B29" s="90" t="s">
        <v>171</v>
      </c>
      <c r="C29" s="91"/>
      <c r="D29" s="207"/>
      <c r="E29" s="91"/>
      <c r="F29" s="213"/>
      <c r="G29" s="91">
        <v>150</v>
      </c>
      <c r="H29" s="213">
        <f t="shared" si="5"/>
        <v>72.599999999999994</v>
      </c>
      <c r="I29" s="92">
        <f>G29*H29</f>
        <v>10890</v>
      </c>
    </row>
    <row r="30" spans="1:17" x14ac:dyDescent="0.25">
      <c r="A30" s="65" t="s">
        <v>172</v>
      </c>
      <c r="B30" s="93" t="s">
        <v>173</v>
      </c>
      <c r="C30" s="91"/>
      <c r="D30" s="207"/>
      <c r="E30" s="91"/>
      <c r="F30" s="213"/>
      <c r="G30" s="91">
        <v>30</v>
      </c>
      <c r="H30" s="213">
        <f t="shared" si="5"/>
        <v>72.599999999999994</v>
      </c>
      <c r="I30" s="92">
        <f t="shared" ref="I30:I31" si="6">G30*H30</f>
        <v>2178</v>
      </c>
    </row>
    <row r="31" spans="1:17" x14ac:dyDescent="0.25">
      <c r="A31" s="65" t="s">
        <v>174</v>
      </c>
      <c r="B31" s="90" t="s">
        <v>175</v>
      </c>
      <c r="C31" s="91"/>
      <c r="D31" s="207"/>
      <c r="E31" s="91"/>
      <c r="F31" s="213"/>
      <c r="G31" s="91">
        <v>50</v>
      </c>
      <c r="H31" s="213">
        <f t="shared" si="5"/>
        <v>72.599999999999994</v>
      </c>
      <c r="I31" s="92">
        <f t="shared" si="6"/>
        <v>3629.9999999999995</v>
      </c>
    </row>
    <row r="32" spans="1:17" x14ac:dyDescent="0.25">
      <c r="A32" s="65" t="s">
        <v>176</v>
      </c>
      <c r="B32" s="90" t="s">
        <v>177</v>
      </c>
      <c r="C32" s="91"/>
      <c r="D32" s="207"/>
      <c r="E32" s="91"/>
      <c r="F32" s="213"/>
      <c r="G32" s="91">
        <v>675</v>
      </c>
      <c r="H32" s="213">
        <f t="shared" si="5"/>
        <v>72.599999999999994</v>
      </c>
      <c r="I32" s="92">
        <f t="shared" ref="I32:I38" si="7">G32*H32</f>
        <v>49004.999999999993</v>
      </c>
    </row>
    <row r="33" spans="1:9" x14ac:dyDescent="0.25">
      <c r="A33" s="65" t="s">
        <v>178</v>
      </c>
      <c r="B33" s="90" t="s">
        <v>179</v>
      </c>
      <c r="C33" s="91"/>
      <c r="D33" s="207"/>
      <c r="E33" s="91"/>
      <c r="F33" s="213"/>
      <c r="G33" s="91">
        <v>270</v>
      </c>
      <c r="H33" s="213">
        <f t="shared" si="5"/>
        <v>72.599999999999994</v>
      </c>
      <c r="I33" s="92">
        <f t="shared" si="7"/>
        <v>19602</v>
      </c>
    </row>
    <row r="34" spans="1:9" ht="16.5" thickBot="1" x14ac:dyDescent="0.3">
      <c r="A34" s="94" t="s">
        <v>180</v>
      </c>
      <c r="B34" s="95" t="s">
        <v>181</v>
      </c>
      <c r="C34" s="96"/>
      <c r="D34" s="211"/>
      <c r="E34" s="96"/>
      <c r="F34" s="214"/>
      <c r="G34" s="96">
        <v>600</v>
      </c>
      <c r="H34" s="214">
        <f t="shared" si="5"/>
        <v>72.599999999999994</v>
      </c>
      <c r="I34" s="97">
        <f t="shared" si="7"/>
        <v>43560</v>
      </c>
    </row>
    <row r="35" spans="1:9" ht="16.5" thickTop="1" x14ac:dyDescent="0.25">
      <c r="A35" s="65" t="s">
        <v>257</v>
      </c>
      <c r="B35" s="93" t="s">
        <v>185</v>
      </c>
      <c r="C35" s="91"/>
      <c r="D35" s="207"/>
      <c r="E35" s="91"/>
      <c r="F35" s="213"/>
      <c r="G35" s="91">
        <v>1000</v>
      </c>
      <c r="H35" s="213">
        <v>72.599999999999994</v>
      </c>
      <c r="I35" s="244">
        <f t="shared" si="7"/>
        <v>72600</v>
      </c>
    </row>
    <row r="36" spans="1:9" x14ac:dyDescent="0.25">
      <c r="A36" s="65" t="s">
        <v>258</v>
      </c>
      <c r="B36" s="90" t="s">
        <v>187</v>
      </c>
      <c r="C36" s="91"/>
      <c r="D36" s="207"/>
      <c r="E36" s="91"/>
      <c r="F36" s="213"/>
      <c r="G36" s="91">
        <v>160</v>
      </c>
      <c r="H36" s="213">
        <v>72.599999999999994</v>
      </c>
      <c r="I36" s="92">
        <f t="shared" si="7"/>
        <v>11616</v>
      </c>
    </row>
    <row r="37" spans="1:9" x14ac:dyDescent="0.25">
      <c r="A37" s="65" t="s">
        <v>259</v>
      </c>
      <c r="B37" s="90" t="s">
        <v>189</v>
      </c>
      <c r="C37" s="91"/>
      <c r="D37" s="207"/>
      <c r="E37" s="91"/>
      <c r="F37" s="213"/>
      <c r="G37" s="91">
        <v>450</v>
      </c>
      <c r="H37" s="213">
        <v>72.599999999999994</v>
      </c>
      <c r="I37" s="92">
        <f t="shared" si="7"/>
        <v>32669.999999999996</v>
      </c>
    </row>
    <row r="38" spans="1:9" ht="16.5" thickBot="1" x14ac:dyDescent="0.3">
      <c r="A38" s="94" t="s">
        <v>260</v>
      </c>
      <c r="B38" s="95" t="s">
        <v>191</v>
      </c>
      <c r="C38" s="96"/>
      <c r="D38" s="211"/>
      <c r="E38" s="96"/>
      <c r="F38" s="214"/>
      <c r="G38" s="96">
        <v>300</v>
      </c>
      <c r="H38" s="214">
        <v>72.599999999999994</v>
      </c>
      <c r="I38" s="97">
        <f t="shared" si="7"/>
        <v>21780</v>
      </c>
    </row>
    <row r="39" spans="1:9" ht="16.5" thickTop="1" x14ac:dyDescent="0.25">
      <c r="A39" s="65" t="s">
        <v>182</v>
      </c>
      <c r="B39" s="66" t="s">
        <v>193</v>
      </c>
      <c r="C39" s="55"/>
      <c r="D39" s="207"/>
      <c r="E39" s="55"/>
      <c r="F39" s="207"/>
      <c r="G39" s="55"/>
      <c r="H39" s="55"/>
      <c r="I39" s="98" t="s">
        <v>164</v>
      </c>
    </row>
    <row r="40" spans="1:9" x14ac:dyDescent="0.25">
      <c r="A40" s="65" t="s">
        <v>192</v>
      </c>
      <c r="B40" s="66" t="s">
        <v>195</v>
      </c>
      <c r="C40" s="55">
        <v>17</v>
      </c>
      <c r="D40" s="207">
        <f>C40*M25</f>
        <v>9112</v>
      </c>
      <c r="E40" s="55">
        <v>17</v>
      </c>
      <c r="F40" s="207">
        <f>E40*$M$23</f>
        <v>22627</v>
      </c>
      <c r="G40" s="55"/>
      <c r="H40" s="55"/>
      <c r="I40" s="71">
        <f>D40+F40</f>
        <v>31739</v>
      </c>
    </row>
    <row r="41" spans="1:9" ht="16.5" thickBot="1" x14ac:dyDescent="0.3">
      <c r="A41" s="72" t="s">
        <v>194</v>
      </c>
      <c r="B41" s="73" t="s">
        <v>197</v>
      </c>
      <c r="C41" s="74">
        <v>17</v>
      </c>
      <c r="D41" s="209">
        <f>C41*M25</f>
        <v>9112</v>
      </c>
      <c r="E41" s="74">
        <v>17</v>
      </c>
      <c r="F41" s="209">
        <f>E41*$M$23</f>
        <v>22627</v>
      </c>
      <c r="G41" s="74"/>
      <c r="H41" s="74"/>
      <c r="I41" s="82">
        <f>D41+F41</f>
        <v>31739</v>
      </c>
    </row>
    <row r="42" spans="1:9" x14ac:dyDescent="0.25">
      <c r="D42" s="50"/>
      <c r="F42" s="50"/>
    </row>
  </sheetData>
  <mergeCells count="4">
    <mergeCell ref="C2:F2"/>
    <mergeCell ref="C3:D3"/>
    <mergeCell ref="E3:F3"/>
    <mergeCell ref="M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E32" sqref="E32"/>
    </sheetView>
  </sheetViews>
  <sheetFormatPr defaultRowHeight="15" x14ac:dyDescent="0.25"/>
  <cols>
    <col min="1" max="1" width="23.140625" style="119" bestFit="1" customWidth="1"/>
    <col min="2" max="3" width="14.28515625" style="119" bestFit="1" customWidth="1"/>
    <col min="4" max="4" width="17.85546875" style="119" bestFit="1" customWidth="1"/>
    <col min="5" max="5" width="20.42578125" style="119" bestFit="1" customWidth="1"/>
    <col min="6" max="6" width="19.85546875" style="119" bestFit="1" customWidth="1"/>
    <col min="7" max="7" width="29.42578125" style="119" bestFit="1" customWidth="1"/>
    <col min="8" max="8" width="19.85546875" style="119" bestFit="1" customWidth="1"/>
    <col min="9" max="9" width="24.28515625" style="119" bestFit="1" customWidth="1"/>
    <col min="10" max="10" width="7.7109375" style="119" customWidth="1"/>
    <col min="11" max="11" width="49.28515625" style="119" bestFit="1" customWidth="1"/>
    <col min="12" max="12" width="25.5703125" style="119" bestFit="1" customWidth="1"/>
    <col min="13" max="13" width="15.7109375" style="119" bestFit="1" customWidth="1"/>
    <col min="14" max="14" width="13.28515625" style="119" bestFit="1" customWidth="1"/>
    <col min="15" max="15" width="9.140625" style="119"/>
    <col min="16" max="16" width="10.140625" style="119" bestFit="1" customWidth="1"/>
    <col min="17" max="16384" width="9.140625" style="119"/>
  </cols>
  <sheetData>
    <row r="1" spans="1:16" ht="15.75" thickBot="1" x14ac:dyDescent="0.3">
      <c r="A1" s="118" t="s">
        <v>214</v>
      </c>
      <c r="E1" s="120"/>
      <c r="F1" s="191"/>
      <c r="G1" s="462" t="s">
        <v>215</v>
      </c>
      <c r="H1" s="463"/>
      <c r="K1" s="464"/>
      <c r="L1" s="464"/>
      <c r="P1" s="120"/>
    </row>
    <row r="2" spans="1:16" ht="15.75" thickBot="1" x14ac:dyDescent="0.3">
      <c r="A2" s="121"/>
      <c r="C2" s="122" t="s">
        <v>200</v>
      </c>
      <c r="D2" s="123" t="s">
        <v>198</v>
      </c>
      <c r="E2" s="124" t="s">
        <v>111</v>
      </c>
      <c r="G2" s="176"/>
      <c r="H2" s="177"/>
      <c r="K2" s="142"/>
      <c r="L2" s="142"/>
    </row>
    <row r="3" spans="1:16" x14ac:dyDescent="0.25">
      <c r="A3" s="192" t="s">
        <v>222</v>
      </c>
      <c r="B3" s="193"/>
      <c r="C3" s="184">
        <v>1650</v>
      </c>
      <c r="D3" s="125">
        <v>232</v>
      </c>
      <c r="E3" s="126">
        <f>SUM(C3:D3)</f>
        <v>1882</v>
      </c>
      <c r="G3" s="465" t="s">
        <v>228</v>
      </c>
      <c r="H3" s="466"/>
      <c r="K3" s="142"/>
      <c r="L3" s="108"/>
    </row>
    <row r="4" spans="1:16" x14ac:dyDescent="0.25">
      <c r="A4" s="302" t="s">
        <v>227</v>
      </c>
      <c r="B4" s="194"/>
      <c r="C4" s="185">
        <v>45</v>
      </c>
      <c r="D4" s="127">
        <v>55</v>
      </c>
      <c r="E4" s="128"/>
      <c r="G4" s="186" t="s">
        <v>229</v>
      </c>
      <c r="H4" s="133" t="s">
        <v>262</v>
      </c>
      <c r="K4" s="142"/>
      <c r="L4" s="245"/>
    </row>
    <row r="5" spans="1:16" x14ac:dyDescent="0.25">
      <c r="A5" s="195" t="s">
        <v>226</v>
      </c>
      <c r="B5" s="196"/>
      <c r="C5" s="186">
        <v>2144</v>
      </c>
      <c r="D5" s="132">
        <v>2665</v>
      </c>
      <c r="E5" s="133"/>
      <c r="G5" s="186" t="s">
        <v>230</v>
      </c>
      <c r="H5" s="133">
        <v>45</v>
      </c>
      <c r="K5" s="142"/>
      <c r="L5" s="142"/>
    </row>
    <row r="6" spans="1:16" x14ac:dyDescent="0.25">
      <c r="A6" s="129" t="s">
        <v>211</v>
      </c>
      <c r="B6" s="180"/>
      <c r="C6" s="187">
        <f>12*C5</f>
        <v>25728</v>
      </c>
      <c r="D6" s="130">
        <f>12*D5</f>
        <v>31980</v>
      </c>
      <c r="E6" s="128"/>
      <c r="G6" s="186" t="s">
        <v>226</v>
      </c>
      <c r="H6" s="133">
        <v>2144</v>
      </c>
      <c r="K6" s="142"/>
      <c r="L6" s="142"/>
    </row>
    <row r="7" spans="1:16" x14ac:dyDescent="0.25">
      <c r="A7" s="366" t="s">
        <v>317</v>
      </c>
      <c r="C7" s="186"/>
      <c r="D7" s="132"/>
      <c r="E7" s="370">
        <v>8.6E-3</v>
      </c>
      <c r="F7" s="134"/>
      <c r="G7" s="186" t="s">
        <v>245</v>
      </c>
      <c r="H7" s="101">
        <f>0.5*H6</f>
        <v>1072</v>
      </c>
      <c r="K7" s="142"/>
      <c r="L7" s="142"/>
    </row>
    <row r="8" spans="1:16" ht="15.75" thickBot="1" x14ac:dyDescent="0.3">
      <c r="A8" s="366" t="s">
        <v>318</v>
      </c>
      <c r="C8" s="186"/>
      <c r="D8" s="132"/>
      <c r="E8" s="221">
        <v>0.21</v>
      </c>
      <c r="F8" s="136"/>
      <c r="G8" s="160" t="s">
        <v>231</v>
      </c>
      <c r="H8" s="216">
        <f>H7/6*52</f>
        <v>9290.6666666666661</v>
      </c>
      <c r="K8" s="142"/>
      <c r="L8" s="108"/>
    </row>
    <row r="9" spans="1:16" ht="15.75" thickBot="1" x14ac:dyDescent="0.3">
      <c r="A9" s="129" t="s">
        <v>224</v>
      </c>
      <c r="B9" s="180"/>
      <c r="C9" s="371">
        <f>E7*E8</f>
        <v>1.8059999999999999E-3</v>
      </c>
      <c r="D9" s="372">
        <f>0.5*C9</f>
        <v>9.0299999999999994E-4</v>
      </c>
      <c r="E9" s="135"/>
      <c r="G9" s="176"/>
      <c r="H9" s="177"/>
      <c r="K9" s="142"/>
      <c r="L9" s="246"/>
    </row>
    <row r="10" spans="1:16" x14ac:dyDescent="0.25">
      <c r="A10" s="131" t="s">
        <v>293</v>
      </c>
      <c r="B10" s="181"/>
      <c r="C10" s="188">
        <f>480*C9</f>
        <v>0.86687999999999998</v>
      </c>
      <c r="D10" s="132" t="s">
        <v>241</v>
      </c>
      <c r="E10" s="128"/>
      <c r="G10" s="465" t="s">
        <v>232</v>
      </c>
      <c r="H10" s="466"/>
      <c r="K10" s="142"/>
      <c r="L10" s="142"/>
    </row>
    <row r="11" spans="1:16" ht="15.75" thickBot="1" x14ac:dyDescent="0.3">
      <c r="A11" s="302" t="s">
        <v>234</v>
      </c>
      <c r="B11" s="194"/>
      <c r="C11" s="189">
        <f>C9*C3</f>
        <v>2.9798999999999998</v>
      </c>
      <c r="D11" s="140">
        <f>D9*D3</f>
        <v>0.20949599999999999</v>
      </c>
      <c r="E11" s="141">
        <f>SUM(C11:D11)</f>
        <v>3.1893959999999999</v>
      </c>
      <c r="G11" s="217" t="s">
        <v>233</v>
      </c>
      <c r="H11" s="103">
        <v>100000</v>
      </c>
      <c r="K11" s="220"/>
      <c r="L11" s="220"/>
    </row>
    <row r="12" spans="1:16" ht="15.75" thickBot="1" x14ac:dyDescent="0.3">
      <c r="A12" s="178" t="s">
        <v>235</v>
      </c>
      <c r="B12" s="182"/>
      <c r="C12" s="367">
        <f>C11*C6</f>
        <v>76666.867199999993</v>
      </c>
      <c r="D12" s="368">
        <f>D11*D6</f>
        <v>6699.6820799999996</v>
      </c>
      <c r="E12" s="369">
        <f>SUM(C12:D12)</f>
        <v>83366.549279999992</v>
      </c>
      <c r="K12" s="142"/>
      <c r="L12" s="108"/>
      <c r="O12" s="136"/>
      <c r="P12" s="136"/>
    </row>
    <row r="13" spans="1:16" ht="15.75" thickBot="1" x14ac:dyDescent="0.3">
      <c r="A13" s="143" t="s">
        <v>319</v>
      </c>
      <c r="B13" s="183"/>
      <c r="C13" s="190"/>
      <c r="D13" s="144"/>
      <c r="E13" s="145">
        <f>E12*0.8</f>
        <v>66693.239423999999</v>
      </c>
      <c r="K13" s="142"/>
      <c r="L13" s="108"/>
      <c r="N13" s="117"/>
      <c r="O13" s="134"/>
      <c r="P13" s="134"/>
    </row>
    <row r="14" spans="1:16" ht="15.75" thickBot="1" x14ac:dyDescent="0.3">
      <c r="A14" s="203"/>
      <c r="K14" s="142"/>
      <c r="L14" s="108"/>
      <c r="N14" s="117"/>
      <c r="O14" s="134"/>
      <c r="P14" s="134"/>
    </row>
    <row r="15" spans="1:16" x14ac:dyDescent="0.25">
      <c r="A15" s="114" t="s">
        <v>202</v>
      </c>
      <c r="B15" s="115"/>
      <c r="C15" s="115"/>
      <c r="D15" s="137" t="s">
        <v>201</v>
      </c>
      <c r="E15" s="137"/>
      <c r="F15" s="138"/>
      <c r="G15" s="138"/>
      <c r="H15" s="139"/>
      <c r="K15" s="142"/>
      <c r="L15" s="142"/>
      <c r="N15" s="117"/>
      <c r="O15" s="134"/>
      <c r="P15" s="134"/>
    </row>
    <row r="16" spans="1:16" x14ac:dyDescent="0.25">
      <c r="A16" s="199" t="s">
        <v>203</v>
      </c>
      <c r="B16" s="200"/>
      <c r="C16" s="200"/>
      <c r="D16" s="108">
        <v>0</v>
      </c>
      <c r="E16" s="142"/>
      <c r="F16" s="201" t="s">
        <v>213</v>
      </c>
      <c r="G16" s="201"/>
      <c r="H16" s="109">
        <f>2*D16</f>
        <v>0</v>
      </c>
      <c r="K16" s="142"/>
      <c r="L16" s="246"/>
      <c r="N16" s="117"/>
      <c r="O16" s="134"/>
      <c r="P16" s="134"/>
    </row>
    <row r="17" spans="1:13" x14ac:dyDescent="0.25">
      <c r="A17" s="199" t="s">
        <v>204</v>
      </c>
      <c r="B17" s="200"/>
      <c r="C17" s="200"/>
      <c r="D17" s="108">
        <f>10000</f>
        <v>10000</v>
      </c>
      <c r="E17" s="142"/>
      <c r="F17" s="201" t="s">
        <v>216</v>
      </c>
      <c r="G17" s="201"/>
      <c r="H17" s="202"/>
      <c r="K17" s="142"/>
      <c r="L17" s="246"/>
    </row>
    <row r="18" spans="1:13" ht="15.75" thickBot="1" x14ac:dyDescent="0.3">
      <c r="A18" s="197" t="s">
        <v>205</v>
      </c>
      <c r="B18" s="198"/>
      <c r="C18" s="198"/>
      <c r="D18" s="110">
        <v>0</v>
      </c>
      <c r="E18" s="146"/>
      <c r="F18" s="146"/>
      <c r="G18" s="146"/>
      <c r="H18" s="147"/>
      <c r="K18" s="142"/>
      <c r="L18" s="247"/>
    </row>
    <row r="20" spans="1:13" ht="15.75" thickBot="1" x14ac:dyDescent="0.3"/>
    <row r="21" spans="1:13" ht="15.75" thickBot="1" x14ac:dyDescent="0.3">
      <c r="A21" s="227" t="s">
        <v>274</v>
      </c>
      <c r="B21" s="228"/>
      <c r="C21" s="228"/>
      <c r="D21" s="228"/>
      <c r="E21" s="179"/>
      <c r="F21" s="179"/>
      <c r="G21" s="228"/>
      <c r="H21" s="228"/>
      <c r="I21" s="229"/>
    </row>
    <row r="22" spans="1:13" x14ac:dyDescent="0.25">
      <c r="A22" s="148"/>
      <c r="B22" s="149" t="s">
        <v>206</v>
      </c>
      <c r="C22" s="150"/>
      <c r="D22" s="151" t="s">
        <v>110</v>
      </c>
      <c r="E22" s="152" t="s">
        <v>221</v>
      </c>
      <c r="F22" s="153"/>
      <c r="G22" s="152" t="s">
        <v>218</v>
      </c>
      <c r="H22" s="154"/>
      <c r="I22" s="155"/>
    </row>
    <row r="23" spans="1:13" ht="15.75" thickBot="1" x14ac:dyDescent="0.3">
      <c r="A23" s="156"/>
      <c r="B23" s="157" t="s">
        <v>207</v>
      </c>
      <c r="C23" s="158" t="s">
        <v>199</v>
      </c>
      <c r="D23" s="159" t="s">
        <v>220</v>
      </c>
      <c r="E23" s="160" t="s">
        <v>209</v>
      </c>
      <c r="F23" s="161" t="s">
        <v>210</v>
      </c>
      <c r="G23" s="160" t="s">
        <v>217</v>
      </c>
      <c r="H23" s="162" t="s">
        <v>219</v>
      </c>
      <c r="I23" s="163" t="s">
        <v>208</v>
      </c>
    </row>
    <row r="24" spans="1:13" x14ac:dyDescent="0.25">
      <c r="A24" s="204">
        <v>1</v>
      </c>
      <c r="B24" s="164">
        <f>(2/3)*E12+H8+H11</f>
        <v>164868.36618666665</v>
      </c>
      <c r="C24" s="100">
        <f>0.5*E13+H8+H11</f>
        <v>142637.28637866667</v>
      </c>
      <c r="D24" s="165">
        <f>('Att.C Kosten totaal (Passive)'!I5)*(-1)</f>
        <v>-857390</v>
      </c>
      <c r="E24" s="113">
        <f>B24+D24</f>
        <v>-692521.63381333335</v>
      </c>
      <c r="F24" s="166">
        <f>C24+D24</f>
        <v>-714752.71362133336</v>
      </c>
      <c r="G24" s="167">
        <f>E24</f>
        <v>-692521.63381333335</v>
      </c>
      <c r="H24" s="105">
        <f>F24</f>
        <v>-714752.71362133336</v>
      </c>
      <c r="I24" s="168">
        <f>H24/1</f>
        <v>-714752.71362133336</v>
      </c>
    </row>
    <row r="25" spans="1:13" x14ac:dyDescent="0.25">
      <c r="A25" s="204">
        <v>2</v>
      </c>
      <c r="B25" s="164">
        <f>E12+H8</f>
        <v>92657.215946666664</v>
      </c>
      <c r="C25" s="101">
        <f>E13+H8</f>
        <v>75983.906090666671</v>
      </c>
      <c r="D25" s="111">
        <f>(SUM(D17:D18))*(-1)</f>
        <v>-10000</v>
      </c>
      <c r="E25" s="102">
        <f>B25+D25</f>
        <v>82657.215946666664</v>
      </c>
      <c r="F25" s="169">
        <f>C25+D25</f>
        <v>65983.906090666671</v>
      </c>
      <c r="G25" s="170">
        <f t="shared" ref="G25:H28" si="0">G24+E25</f>
        <v>-609864.41786666668</v>
      </c>
      <c r="H25" s="106">
        <f t="shared" si="0"/>
        <v>-648768.8075306667</v>
      </c>
      <c r="I25" s="171">
        <f>H25/2</f>
        <v>-324384.40376533335</v>
      </c>
    </row>
    <row r="26" spans="1:13" x14ac:dyDescent="0.25">
      <c r="A26" s="204">
        <v>3</v>
      </c>
      <c r="B26" s="164">
        <f>E12+H8</f>
        <v>92657.215946666664</v>
      </c>
      <c r="C26" s="101">
        <f>E13+H8</f>
        <v>75983.906090666671</v>
      </c>
      <c r="D26" s="111">
        <f>(H16+D17+D18)*(-1)</f>
        <v>-10000</v>
      </c>
      <c r="E26" s="102">
        <f>B26+D26</f>
        <v>82657.215946666664</v>
      </c>
      <c r="F26" s="169">
        <f>C26+D26</f>
        <v>65983.906090666671</v>
      </c>
      <c r="G26" s="170">
        <f t="shared" si="0"/>
        <v>-527207.20192000002</v>
      </c>
      <c r="H26" s="106">
        <f t="shared" si="0"/>
        <v>-582784.90144000005</v>
      </c>
      <c r="I26" s="168">
        <f>H26/3</f>
        <v>-194261.63381333335</v>
      </c>
    </row>
    <row r="27" spans="1:13" x14ac:dyDescent="0.25">
      <c r="A27" s="204">
        <v>4</v>
      </c>
      <c r="B27" s="164">
        <f>E12+H8</f>
        <v>92657.215946666664</v>
      </c>
      <c r="C27" s="101">
        <f>E13+H8</f>
        <v>75983.906090666671</v>
      </c>
      <c r="D27" s="111">
        <f>(SUM(D17:D18))*(-1)</f>
        <v>-10000</v>
      </c>
      <c r="E27" s="102">
        <f>B27+D27</f>
        <v>82657.215946666664</v>
      </c>
      <c r="F27" s="169">
        <f>C27+D27</f>
        <v>65983.906090666671</v>
      </c>
      <c r="G27" s="170">
        <f t="shared" si="0"/>
        <v>-444549.98597333336</v>
      </c>
      <c r="H27" s="106">
        <f t="shared" si="0"/>
        <v>-516800.99534933339</v>
      </c>
      <c r="I27" s="171">
        <f>H27/4</f>
        <v>-129200.24883733335</v>
      </c>
    </row>
    <row r="28" spans="1:13" ht="15.75" thickBot="1" x14ac:dyDescent="0.3">
      <c r="A28" s="205">
        <v>5</v>
      </c>
      <c r="B28" s="172">
        <f>E12+H8</f>
        <v>92657.215946666664</v>
      </c>
      <c r="C28" s="103">
        <f>E13+H8</f>
        <v>75983.906090666671</v>
      </c>
      <c r="D28" s="112">
        <f>(H16+D17+D18)*(-1)</f>
        <v>-10000</v>
      </c>
      <c r="E28" s="104">
        <f>B28+D28</f>
        <v>82657.215946666664</v>
      </c>
      <c r="F28" s="173">
        <f>C28+D28</f>
        <v>65983.906090666671</v>
      </c>
      <c r="G28" s="174">
        <f t="shared" si="0"/>
        <v>-361892.77002666669</v>
      </c>
      <c r="H28" s="107">
        <f t="shared" si="0"/>
        <v>-450817.08925866673</v>
      </c>
      <c r="I28" s="175">
        <f>H28/5</f>
        <v>-90163.417851733349</v>
      </c>
    </row>
    <row r="29" spans="1:13" x14ac:dyDescent="0.25">
      <c r="A29" s="176"/>
      <c r="B29" s="142"/>
      <c r="C29" s="142"/>
      <c r="D29" s="142"/>
      <c r="E29" s="142"/>
      <c r="F29" s="142"/>
      <c r="G29" s="142"/>
      <c r="H29" s="142"/>
      <c r="I29" s="177"/>
    </row>
    <row r="30" spans="1:13" ht="15.75" thickBot="1" x14ac:dyDescent="0.3">
      <c r="A30" s="218" t="s">
        <v>225</v>
      </c>
      <c r="B30" s="219">
        <f>AVERAGE(B24:B28)</f>
        <v>107099.44599466666</v>
      </c>
      <c r="C30" s="219">
        <f>AVERAGE(C24:C28)</f>
        <v>89314.582148266665</v>
      </c>
      <c r="D30" s="219">
        <f>AVERAGE(D24:D28)</f>
        <v>-179478</v>
      </c>
      <c r="E30" s="219">
        <f>AVERAGE(E24:E28)</f>
        <v>-72378.554005333339</v>
      </c>
      <c r="F30" s="219">
        <f>AVERAGE(F24:F28)</f>
        <v>-90163.417851733349</v>
      </c>
      <c r="G30" s="146"/>
      <c r="H30" s="146"/>
      <c r="I30" s="147"/>
      <c r="M30" s="136"/>
    </row>
    <row r="31" spans="1:13" ht="15.75" thickBot="1" x14ac:dyDescent="0.3"/>
    <row r="32" spans="1:13" x14ac:dyDescent="0.25">
      <c r="A32" s="294"/>
      <c r="B32" s="138" t="s">
        <v>275</v>
      </c>
      <c r="C32" s="138"/>
      <c r="D32" s="138"/>
      <c r="E32" s="295">
        <f>2+(H25)/(H25-H26)</f>
        <v>11.83222797751942</v>
      </c>
      <c r="F32" s="139" t="s">
        <v>276</v>
      </c>
    </row>
    <row r="33" spans="1:6" ht="15.75" thickBot="1" x14ac:dyDescent="0.3">
      <c r="A33" s="272"/>
      <c r="B33" s="146" t="s">
        <v>253</v>
      </c>
      <c r="C33" s="146"/>
      <c r="D33" s="146"/>
      <c r="E33" s="301">
        <v>3.8968997124838101</v>
      </c>
      <c r="F33" s="147" t="s">
        <v>254</v>
      </c>
    </row>
  </sheetData>
  <mergeCells count="4">
    <mergeCell ref="G1:H1"/>
    <mergeCell ref="K1:L1"/>
    <mergeCell ref="G3:H3"/>
    <mergeCell ref="G10:H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90" zoomScaleNormal="90" workbookViewId="0">
      <selection activeCell="E33" sqref="E33"/>
    </sheetView>
  </sheetViews>
  <sheetFormatPr defaultRowHeight="15" x14ac:dyDescent="0.25"/>
  <cols>
    <col min="1" max="1" width="23.140625" style="119" bestFit="1" customWidth="1"/>
    <col min="2" max="3" width="14.28515625" style="119" bestFit="1" customWidth="1"/>
    <col min="4" max="4" width="17.85546875" style="119" bestFit="1" customWidth="1"/>
    <col min="5" max="5" width="20.42578125" style="119" bestFit="1" customWidth="1"/>
    <col min="6" max="6" width="19.85546875" style="119" bestFit="1" customWidth="1"/>
    <col min="7" max="7" width="29.42578125" style="119" bestFit="1" customWidth="1"/>
    <col min="8" max="8" width="19.85546875" style="119" bestFit="1" customWidth="1"/>
    <col min="9" max="9" width="24.28515625" style="119" bestFit="1" customWidth="1"/>
    <col min="10" max="10" width="7.7109375" style="119" customWidth="1"/>
    <col min="11" max="11" width="49.28515625" style="119" bestFit="1" customWidth="1"/>
    <col min="12" max="12" width="25.5703125" style="119" bestFit="1" customWidth="1"/>
    <col min="13" max="13" width="15.7109375" style="119" bestFit="1" customWidth="1"/>
    <col min="14" max="14" width="13.28515625" style="119" bestFit="1" customWidth="1"/>
    <col min="15" max="15" width="9.140625" style="119"/>
    <col min="16" max="16" width="10.140625" style="119" bestFit="1" customWidth="1"/>
    <col min="17" max="16384" width="9.140625" style="119"/>
  </cols>
  <sheetData>
    <row r="1" spans="1:16" ht="15.75" thickBot="1" x14ac:dyDescent="0.3">
      <c r="A1" s="118" t="s">
        <v>214</v>
      </c>
      <c r="E1" s="120"/>
      <c r="F1" s="191"/>
      <c r="G1" s="462" t="s">
        <v>215</v>
      </c>
      <c r="H1" s="463"/>
      <c r="K1" s="464"/>
      <c r="L1" s="464"/>
      <c r="P1" s="120"/>
    </row>
    <row r="2" spans="1:16" ht="15.75" thickBot="1" x14ac:dyDescent="0.3">
      <c r="A2" s="121"/>
      <c r="C2" s="122" t="s">
        <v>200</v>
      </c>
      <c r="D2" s="123" t="s">
        <v>198</v>
      </c>
      <c r="E2" s="124" t="s">
        <v>111</v>
      </c>
      <c r="G2" s="176"/>
      <c r="H2" s="177"/>
      <c r="K2" s="142"/>
      <c r="L2" s="142"/>
    </row>
    <row r="3" spans="1:16" x14ac:dyDescent="0.25">
      <c r="A3" s="192" t="s">
        <v>222</v>
      </c>
      <c r="B3" s="193"/>
      <c r="C3" s="184">
        <v>1650</v>
      </c>
      <c r="D3" s="125">
        <v>232</v>
      </c>
      <c r="E3" s="126">
        <f>SUM(C3:D3)</f>
        <v>1882</v>
      </c>
      <c r="G3" s="465" t="s">
        <v>228</v>
      </c>
      <c r="H3" s="466"/>
      <c r="K3" s="142"/>
      <c r="L3" s="108"/>
    </row>
    <row r="4" spans="1:16" x14ac:dyDescent="0.25">
      <c r="A4" s="302" t="s">
        <v>227</v>
      </c>
      <c r="B4" s="194"/>
      <c r="C4" s="185">
        <v>45</v>
      </c>
      <c r="D4" s="127">
        <v>55</v>
      </c>
      <c r="E4" s="128"/>
      <c r="G4" s="186" t="s">
        <v>229</v>
      </c>
      <c r="H4" s="133" t="s">
        <v>240</v>
      </c>
      <c r="K4" s="142"/>
      <c r="L4" s="245"/>
    </row>
    <row r="5" spans="1:16" x14ac:dyDescent="0.25">
      <c r="A5" s="195" t="s">
        <v>226</v>
      </c>
      <c r="B5" s="196"/>
      <c r="C5" s="186">
        <v>2144</v>
      </c>
      <c r="D5" s="132">
        <v>2665</v>
      </c>
      <c r="E5" s="133"/>
      <c r="G5" s="186" t="s">
        <v>230</v>
      </c>
      <c r="H5" s="133">
        <v>45</v>
      </c>
      <c r="K5" s="142"/>
      <c r="L5" s="142"/>
    </row>
    <row r="6" spans="1:16" x14ac:dyDescent="0.25">
      <c r="A6" s="129" t="s">
        <v>211</v>
      </c>
      <c r="B6" s="180"/>
      <c r="C6" s="187">
        <f>12*C5</f>
        <v>25728</v>
      </c>
      <c r="D6" s="130">
        <f>12*D5</f>
        <v>31980</v>
      </c>
      <c r="E6" s="128"/>
      <c r="G6" s="186" t="s">
        <v>226</v>
      </c>
      <c r="H6" s="133">
        <v>2144</v>
      </c>
      <c r="K6" s="142"/>
      <c r="L6" s="142"/>
    </row>
    <row r="7" spans="1:16" x14ac:dyDescent="0.25">
      <c r="A7" s="366" t="s">
        <v>317</v>
      </c>
      <c r="C7" s="186"/>
      <c r="D7" s="132"/>
      <c r="E7" s="370">
        <v>8.6E-3</v>
      </c>
      <c r="F7" s="134"/>
      <c r="G7" s="186" t="s">
        <v>245</v>
      </c>
      <c r="H7" s="101">
        <v>2144</v>
      </c>
      <c r="K7" s="142"/>
      <c r="L7" s="142"/>
    </row>
    <row r="8" spans="1:16" ht="15.75" thickBot="1" x14ac:dyDescent="0.3">
      <c r="A8" s="366" t="s">
        <v>318</v>
      </c>
      <c r="C8" s="186"/>
      <c r="D8" s="132"/>
      <c r="E8" s="221">
        <v>0.28000000000000003</v>
      </c>
      <c r="F8" s="136"/>
      <c r="G8" s="160" t="s">
        <v>231</v>
      </c>
      <c r="H8" s="216">
        <f>H7/6*52</f>
        <v>18581.333333333332</v>
      </c>
      <c r="K8" s="142"/>
      <c r="L8" s="108"/>
    </row>
    <row r="9" spans="1:16" ht="15.75" thickBot="1" x14ac:dyDescent="0.3">
      <c r="A9" s="129" t="s">
        <v>224</v>
      </c>
      <c r="B9" s="180"/>
      <c r="C9" s="371">
        <f>E7*E8</f>
        <v>2.4080000000000004E-3</v>
      </c>
      <c r="D9" s="372">
        <f>0.5*C9</f>
        <v>1.2040000000000002E-3</v>
      </c>
      <c r="E9" s="135"/>
      <c r="G9" s="176"/>
      <c r="H9" s="177"/>
      <c r="K9" s="142"/>
      <c r="L9" s="246"/>
    </row>
    <row r="10" spans="1:16" x14ac:dyDescent="0.25">
      <c r="A10" s="131" t="s">
        <v>293</v>
      </c>
      <c r="B10" s="181"/>
      <c r="C10" s="188">
        <f>480*C9</f>
        <v>1.1558400000000002</v>
      </c>
      <c r="D10" s="132" t="s">
        <v>241</v>
      </c>
      <c r="E10" s="128"/>
      <c r="G10" s="465" t="s">
        <v>232</v>
      </c>
      <c r="H10" s="466"/>
      <c r="K10" s="142"/>
      <c r="L10" s="142"/>
    </row>
    <row r="11" spans="1:16" ht="15.75" thickBot="1" x14ac:dyDescent="0.3">
      <c r="A11" s="302" t="s">
        <v>234</v>
      </c>
      <c r="B11" s="194"/>
      <c r="C11" s="189">
        <f>C9*C3</f>
        <v>3.9732000000000007</v>
      </c>
      <c r="D11" s="140">
        <f>D9*D3</f>
        <v>0.27932800000000002</v>
      </c>
      <c r="E11" s="141">
        <f>SUM(C11:D11)</f>
        <v>4.2525280000000008</v>
      </c>
      <c r="G11" s="217" t="s">
        <v>233</v>
      </c>
      <c r="H11" s="103">
        <v>100000</v>
      </c>
      <c r="K11" s="220"/>
      <c r="L11" s="220"/>
    </row>
    <row r="12" spans="1:16" ht="15.75" thickBot="1" x14ac:dyDescent="0.3">
      <c r="A12" s="178" t="s">
        <v>235</v>
      </c>
      <c r="B12" s="182"/>
      <c r="C12" s="367">
        <f>C11*C6</f>
        <v>102222.48960000002</v>
      </c>
      <c r="D12" s="368">
        <f>D11*D6</f>
        <v>8932.9094400000013</v>
      </c>
      <c r="E12" s="369">
        <f>SUM(C12:D12)</f>
        <v>111155.39904000002</v>
      </c>
      <c r="K12" s="142"/>
      <c r="L12" s="108"/>
      <c r="O12" s="136"/>
      <c r="P12" s="136"/>
    </row>
    <row r="13" spans="1:16" ht="15.75" thickBot="1" x14ac:dyDescent="0.3">
      <c r="A13" s="143" t="s">
        <v>212</v>
      </c>
      <c r="B13" s="183"/>
      <c r="C13" s="190"/>
      <c r="D13" s="144"/>
      <c r="E13" s="145">
        <f>E12*0.8</f>
        <v>88924.319232000023</v>
      </c>
      <c r="K13" s="142"/>
      <c r="L13" s="108"/>
      <c r="N13" s="117"/>
      <c r="O13" s="134"/>
      <c r="P13" s="134"/>
    </row>
    <row r="14" spans="1:16" x14ac:dyDescent="0.25">
      <c r="A14" s="203"/>
      <c r="K14" s="142"/>
      <c r="L14" s="108"/>
      <c r="N14" s="117"/>
      <c r="O14" s="134"/>
      <c r="P14" s="134"/>
    </row>
    <row r="15" spans="1:16" ht="15.75" thickBot="1" x14ac:dyDescent="0.3">
      <c r="K15" s="142"/>
      <c r="L15" s="142"/>
      <c r="N15" s="117"/>
      <c r="O15" s="134"/>
      <c r="P15" s="134"/>
    </row>
    <row r="16" spans="1:16" x14ac:dyDescent="0.25">
      <c r="A16" s="114" t="s">
        <v>202</v>
      </c>
      <c r="B16" s="115"/>
      <c r="C16" s="115"/>
      <c r="D16" s="137" t="s">
        <v>201</v>
      </c>
      <c r="E16" s="137"/>
      <c r="F16" s="138"/>
      <c r="G16" s="138"/>
      <c r="H16" s="139"/>
      <c r="K16" s="142"/>
      <c r="L16" s="246"/>
      <c r="N16" s="117"/>
      <c r="O16" s="134"/>
      <c r="P16" s="134"/>
    </row>
    <row r="17" spans="1:13" x14ac:dyDescent="0.25">
      <c r="A17" s="199" t="s">
        <v>203</v>
      </c>
      <c r="B17" s="200"/>
      <c r="C17" s="200"/>
      <c r="D17" s="108">
        <f>'Att. D Kosten totaal (Hybrid)'!I28*0.5/2</f>
        <v>907.49999999999989</v>
      </c>
      <c r="E17" s="142"/>
      <c r="F17" s="201" t="s">
        <v>213</v>
      </c>
      <c r="G17" s="201"/>
      <c r="H17" s="109">
        <f>2*D17</f>
        <v>1814.9999999999998</v>
      </c>
      <c r="K17" s="142"/>
      <c r="L17" s="246"/>
    </row>
    <row r="18" spans="1:13" x14ac:dyDescent="0.25">
      <c r="A18" s="199" t="s">
        <v>204</v>
      </c>
      <c r="B18" s="200"/>
      <c r="C18" s="200"/>
      <c r="D18" s="108">
        <f>10000</f>
        <v>10000</v>
      </c>
      <c r="E18" s="142"/>
      <c r="F18" s="201" t="s">
        <v>216</v>
      </c>
      <c r="G18" s="201"/>
      <c r="H18" s="202"/>
      <c r="K18" s="142"/>
      <c r="L18" s="247"/>
    </row>
    <row r="19" spans="1:13" ht="15.75" thickBot="1" x14ac:dyDescent="0.3">
      <c r="A19" s="197" t="s">
        <v>205</v>
      </c>
      <c r="B19" s="198"/>
      <c r="C19" s="198"/>
      <c r="D19" s="110">
        <f>'Att. D Kosten totaal (Hybrid)'!G28*24*1.21</f>
        <v>1452</v>
      </c>
      <c r="E19" s="146"/>
      <c r="F19" s="146"/>
      <c r="G19" s="146"/>
      <c r="H19" s="147"/>
    </row>
    <row r="21" spans="1:13" ht="15.75" thickBot="1" x14ac:dyDescent="0.3"/>
    <row r="22" spans="1:13" ht="15.75" thickBot="1" x14ac:dyDescent="0.3">
      <c r="A22" s="227" t="s">
        <v>223</v>
      </c>
      <c r="B22" s="228"/>
      <c r="C22" s="228"/>
      <c r="D22" s="228"/>
      <c r="E22" s="179"/>
      <c r="F22" s="179"/>
      <c r="G22" s="228"/>
      <c r="H22" s="228"/>
      <c r="I22" s="229"/>
    </row>
    <row r="23" spans="1:13" x14ac:dyDescent="0.25">
      <c r="A23" s="148"/>
      <c r="B23" s="149" t="s">
        <v>206</v>
      </c>
      <c r="C23" s="150"/>
      <c r="D23" s="151" t="s">
        <v>110</v>
      </c>
      <c r="E23" s="152" t="s">
        <v>221</v>
      </c>
      <c r="F23" s="153"/>
      <c r="G23" s="152" t="s">
        <v>218</v>
      </c>
      <c r="H23" s="154"/>
      <c r="I23" s="155"/>
    </row>
    <row r="24" spans="1:13" ht="15.75" thickBot="1" x14ac:dyDescent="0.3">
      <c r="A24" s="156"/>
      <c r="B24" s="157" t="s">
        <v>207</v>
      </c>
      <c r="C24" s="158" t="s">
        <v>199</v>
      </c>
      <c r="D24" s="159" t="s">
        <v>220</v>
      </c>
      <c r="E24" s="160" t="s">
        <v>209</v>
      </c>
      <c r="F24" s="161" t="s">
        <v>210</v>
      </c>
      <c r="G24" s="160" t="s">
        <v>217</v>
      </c>
      <c r="H24" s="162" t="s">
        <v>219</v>
      </c>
      <c r="I24" s="163" t="s">
        <v>208</v>
      </c>
    </row>
    <row r="25" spans="1:13" x14ac:dyDescent="0.25">
      <c r="A25" s="204">
        <v>1</v>
      </c>
      <c r="B25" s="164">
        <f>(2/3)*E12+H8+H11</f>
        <v>192684.93269333334</v>
      </c>
      <c r="C25" s="100">
        <f>0.5*E13+H8+H11</f>
        <v>163043.49294933333</v>
      </c>
      <c r="D25" s="165">
        <f>('Att. D Kosten totaal (Hybrid)'!I44)*(-1)</f>
        <v>-1246480.5</v>
      </c>
      <c r="E25" s="113">
        <f>B25+D25</f>
        <v>-1053795.5673066666</v>
      </c>
      <c r="F25" s="166">
        <f>C25+D25</f>
        <v>-1083437.0070506667</v>
      </c>
      <c r="G25" s="167">
        <f>E25</f>
        <v>-1053795.5673066666</v>
      </c>
      <c r="H25" s="105">
        <f>F25</f>
        <v>-1083437.0070506667</v>
      </c>
      <c r="I25" s="168">
        <f>H25/1</f>
        <v>-1083437.0070506667</v>
      </c>
    </row>
    <row r="26" spans="1:13" x14ac:dyDescent="0.25">
      <c r="A26" s="204">
        <v>2</v>
      </c>
      <c r="B26" s="164">
        <f>E12+H8</f>
        <v>129736.73237333335</v>
      </c>
      <c r="C26" s="101">
        <f>E13+H8</f>
        <v>107505.65256533335</v>
      </c>
      <c r="D26" s="111">
        <f>(SUM(D18:D19))*(-1)</f>
        <v>-11452</v>
      </c>
      <c r="E26" s="102">
        <f>B26+D26</f>
        <v>118284.73237333335</v>
      </c>
      <c r="F26" s="169">
        <f>C26+D26</f>
        <v>96053.652565333352</v>
      </c>
      <c r="G26" s="170">
        <f t="shared" ref="G26:H29" si="0">G25+E26</f>
        <v>-935510.83493333333</v>
      </c>
      <c r="H26" s="106">
        <f t="shared" si="0"/>
        <v>-987383.35448533343</v>
      </c>
      <c r="I26" s="171">
        <f>H26/2</f>
        <v>-493691.67724266672</v>
      </c>
    </row>
    <row r="27" spans="1:13" x14ac:dyDescent="0.25">
      <c r="A27" s="204">
        <v>3</v>
      </c>
      <c r="B27" s="164">
        <f>E12+H8</f>
        <v>129736.73237333335</v>
      </c>
      <c r="C27" s="101">
        <f>E13+H8</f>
        <v>107505.65256533335</v>
      </c>
      <c r="D27" s="111">
        <f>(H17+D18+D19)*(-1)</f>
        <v>-13267</v>
      </c>
      <c r="E27" s="102">
        <f>B27+D27</f>
        <v>116469.73237333335</v>
      </c>
      <c r="F27" s="169">
        <f>C27+D27</f>
        <v>94238.652565333352</v>
      </c>
      <c r="G27" s="170">
        <f t="shared" si="0"/>
        <v>-819041.10256000003</v>
      </c>
      <c r="H27" s="106">
        <f t="shared" si="0"/>
        <v>-893144.70192000014</v>
      </c>
      <c r="I27" s="168">
        <f>H27/3</f>
        <v>-297714.90064000007</v>
      </c>
    </row>
    <row r="28" spans="1:13" x14ac:dyDescent="0.25">
      <c r="A28" s="204">
        <v>4</v>
      </c>
      <c r="B28" s="164">
        <f>E12+H8</f>
        <v>129736.73237333335</v>
      </c>
      <c r="C28" s="101">
        <f>E13+H8</f>
        <v>107505.65256533335</v>
      </c>
      <c r="D28" s="111">
        <f>(SUM(D18:D19))*(-1)</f>
        <v>-11452</v>
      </c>
      <c r="E28" s="102">
        <f>B28+D28</f>
        <v>118284.73237333335</v>
      </c>
      <c r="F28" s="169">
        <f>C28+D28</f>
        <v>96053.652565333352</v>
      </c>
      <c r="G28" s="170">
        <f t="shared" si="0"/>
        <v>-700756.37018666673</v>
      </c>
      <c r="H28" s="106">
        <f t="shared" si="0"/>
        <v>-797091.04935466684</v>
      </c>
      <c r="I28" s="171">
        <f>H28/4</f>
        <v>-199272.76233866671</v>
      </c>
    </row>
    <row r="29" spans="1:13" ht="15.75" thickBot="1" x14ac:dyDescent="0.3">
      <c r="A29" s="205">
        <v>5</v>
      </c>
      <c r="B29" s="172">
        <f>E12+H8</f>
        <v>129736.73237333335</v>
      </c>
      <c r="C29" s="103">
        <f>E13+H8</f>
        <v>107505.65256533335</v>
      </c>
      <c r="D29" s="112">
        <f>(H17+D18+D19)*(-1)</f>
        <v>-13267</v>
      </c>
      <c r="E29" s="104">
        <f>B29+D29</f>
        <v>116469.73237333335</v>
      </c>
      <c r="F29" s="173">
        <f>C29+D29</f>
        <v>94238.652565333352</v>
      </c>
      <c r="G29" s="174">
        <f t="shared" si="0"/>
        <v>-584286.63781333342</v>
      </c>
      <c r="H29" s="107">
        <f t="shared" si="0"/>
        <v>-702852.39678933355</v>
      </c>
      <c r="I29" s="175">
        <f>H29/5</f>
        <v>-140570.47935786672</v>
      </c>
    </row>
    <row r="30" spans="1:13" x14ac:dyDescent="0.25">
      <c r="A30" s="176"/>
      <c r="B30" s="142"/>
      <c r="C30" s="142"/>
      <c r="D30" s="142"/>
      <c r="E30" s="142"/>
      <c r="F30" s="142"/>
      <c r="G30" s="142"/>
      <c r="H30" s="142"/>
      <c r="I30" s="177"/>
      <c r="M30" s="136"/>
    </row>
    <row r="31" spans="1:13" ht="15.75" thickBot="1" x14ac:dyDescent="0.3">
      <c r="A31" s="218" t="s">
        <v>225</v>
      </c>
      <c r="B31" s="219">
        <f>AVERAGE(B25:B29)</f>
        <v>142326.37243733334</v>
      </c>
      <c r="C31" s="219">
        <f>AVERAGE(C25:C29)</f>
        <v>118613.22064213334</v>
      </c>
      <c r="D31" s="219">
        <f>AVERAGE(D25:D29)</f>
        <v>-259183.7</v>
      </c>
      <c r="E31" s="219">
        <f>AVERAGE(E25:E29)</f>
        <v>-116857.32756266669</v>
      </c>
      <c r="F31" s="219">
        <f>AVERAGE(F25:F29)</f>
        <v>-140570.47935786672</v>
      </c>
      <c r="G31" s="146"/>
      <c r="H31" s="146"/>
      <c r="I31" s="147"/>
    </row>
    <row r="32" spans="1:13" ht="15.75" thickBot="1" x14ac:dyDescent="0.3"/>
    <row r="33" spans="1:6" x14ac:dyDescent="0.25">
      <c r="A33" s="294"/>
      <c r="B33" s="138" t="s">
        <v>275</v>
      </c>
      <c r="C33" s="138"/>
      <c r="D33" s="138"/>
      <c r="E33" s="295">
        <f>2+(H26)/(H26-H27)</f>
        <v>12.477477421494385</v>
      </c>
      <c r="F33" s="139" t="s">
        <v>276</v>
      </c>
    </row>
    <row r="34" spans="1:6" ht="15.75" thickBot="1" x14ac:dyDescent="0.3">
      <c r="A34" s="272"/>
      <c r="B34" s="146" t="s">
        <v>253</v>
      </c>
      <c r="C34" s="146"/>
      <c r="D34" s="146"/>
      <c r="E34" s="296">
        <v>6.50849810488881</v>
      </c>
      <c r="F34" s="147" t="s">
        <v>254</v>
      </c>
    </row>
  </sheetData>
  <mergeCells count="4">
    <mergeCell ref="G1:H1"/>
    <mergeCell ref="G3:H3"/>
    <mergeCell ref="G10:H10"/>
    <mergeCell ref="K1:L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90" zoomScaleNormal="90" workbookViewId="0">
      <selection activeCell="E34" sqref="E34"/>
    </sheetView>
  </sheetViews>
  <sheetFormatPr defaultRowHeight="15" x14ac:dyDescent="0.25"/>
  <cols>
    <col min="1" max="1" width="23.140625" style="119" bestFit="1" customWidth="1"/>
    <col min="2" max="3" width="14.28515625" style="119" bestFit="1" customWidth="1"/>
    <col min="4" max="4" width="17.85546875" style="119" bestFit="1" customWidth="1"/>
    <col min="5" max="5" width="20.42578125" style="119" bestFit="1" customWidth="1"/>
    <col min="6" max="6" width="19.85546875" style="119" bestFit="1" customWidth="1"/>
    <col min="7" max="7" width="29.42578125" style="119" bestFit="1" customWidth="1"/>
    <col min="8" max="8" width="19.85546875" style="119" bestFit="1" customWidth="1"/>
    <col min="9" max="9" width="24.28515625" style="119" bestFit="1" customWidth="1"/>
    <col min="10" max="10" width="7.7109375" style="119" customWidth="1"/>
    <col min="11" max="11" width="49.28515625" style="119" bestFit="1" customWidth="1"/>
    <col min="12" max="12" width="25.5703125" style="119" bestFit="1" customWidth="1"/>
    <col min="13" max="13" width="15.7109375" style="119" bestFit="1" customWidth="1"/>
    <col min="14" max="14" width="13.28515625" style="119" bestFit="1" customWidth="1"/>
    <col min="15" max="15" width="9.140625" style="119"/>
    <col min="16" max="16" width="10.140625" style="119" bestFit="1" customWidth="1"/>
    <col min="17" max="16384" width="9.140625" style="119"/>
  </cols>
  <sheetData>
    <row r="1" spans="1:16" ht="15.75" thickBot="1" x14ac:dyDescent="0.3">
      <c r="A1" s="118" t="s">
        <v>214</v>
      </c>
      <c r="E1" s="120"/>
      <c r="F1" s="191"/>
      <c r="G1" s="462" t="s">
        <v>215</v>
      </c>
      <c r="H1" s="463"/>
      <c r="K1" s="464"/>
      <c r="L1" s="464"/>
      <c r="P1" s="120"/>
    </row>
    <row r="2" spans="1:16" ht="15.75" thickBot="1" x14ac:dyDescent="0.3">
      <c r="A2" s="121"/>
      <c r="C2" s="122" t="s">
        <v>200</v>
      </c>
      <c r="D2" s="123" t="s">
        <v>198</v>
      </c>
      <c r="E2" s="124" t="s">
        <v>111</v>
      </c>
      <c r="G2" s="176"/>
      <c r="H2" s="177"/>
      <c r="K2" s="142"/>
      <c r="L2" s="142"/>
    </row>
    <row r="3" spans="1:16" x14ac:dyDescent="0.25">
      <c r="A3" s="192" t="s">
        <v>222</v>
      </c>
      <c r="B3" s="193"/>
      <c r="C3" s="184">
        <v>1650</v>
      </c>
      <c r="D3" s="125">
        <v>232</v>
      </c>
      <c r="E3" s="126">
        <f>SUM(C3:D3)</f>
        <v>1882</v>
      </c>
      <c r="G3" s="465" t="s">
        <v>228</v>
      </c>
      <c r="H3" s="466"/>
      <c r="K3" s="142"/>
      <c r="L3" s="108"/>
    </row>
    <row r="4" spans="1:16" x14ac:dyDescent="0.25">
      <c r="A4" s="302" t="s">
        <v>227</v>
      </c>
      <c r="B4" s="194"/>
      <c r="C4" s="185">
        <v>45</v>
      </c>
      <c r="D4" s="127">
        <v>55</v>
      </c>
      <c r="E4" s="128"/>
      <c r="G4" s="186" t="s">
        <v>229</v>
      </c>
      <c r="H4" s="133" t="s">
        <v>240</v>
      </c>
      <c r="K4" s="142"/>
      <c r="L4" s="245"/>
    </row>
    <row r="5" spans="1:16" x14ac:dyDescent="0.25">
      <c r="A5" s="195" t="s">
        <v>226</v>
      </c>
      <c r="B5" s="196"/>
      <c r="C5" s="186">
        <v>2144</v>
      </c>
      <c r="D5" s="132">
        <v>2665</v>
      </c>
      <c r="E5" s="133"/>
      <c r="G5" s="186" t="s">
        <v>230</v>
      </c>
      <c r="H5" s="133">
        <v>45</v>
      </c>
      <c r="K5" s="142"/>
      <c r="L5" s="142"/>
    </row>
    <row r="6" spans="1:16" x14ac:dyDescent="0.25">
      <c r="A6" s="129" t="s">
        <v>211</v>
      </c>
      <c r="B6" s="180"/>
      <c r="C6" s="187">
        <f>12*C5</f>
        <v>25728</v>
      </c>
      <c r="D6" s="130">
        <f>12*D5</f>
        <v>31980</v>
      </c>
      <c r="E6" s="128"/>
      <c r="G6" s="186" t="s">
        <v>226</v>
      </c>
      <c r="H6" s="133">
        <v>2144</v>
      </c>
      <c r="K6" s="142"/>
      <c r="L6" s="142"/>
    </row>
    <row r="7" spans="1:16" x14ac:dyDescent="0.25">
      <c r="A7" s="375" t="s">
        <v>317</v>
      </c>
      <c r="B7" s="142"/>
      <c r="C7" s="186"/>
      <c r="D7" s="132"/>
      <c r="E7" s="370">
        <v>8.6E-3</v>
      </c>
      <c r="F7" s="134"/>
      <c r="G7" s="186" t="s">
        <v>245</v>
      </c>
      <c r="H7" s="101">
        <v>2144</v>
      </c>
      <c r="K7" s="142"/>
      <c r="L7" s="142"/>
    </row>
    <row r="8" spans="1:16" ht="15.75" thickBot="1" x14ac:dyDescent="0.3">
      <c r="A8" s="375" t="s">
        <v>318</v>
      </c>
      <c r="B8" s="142"/>
      <c r="C8" s="186"/>
      <c r="D8" s="132"/>
      <c r="E8" s="221">
        <v>0.31</v>
      </c>
      <c r="F8" s="136"/>
      <c r="G8" s="160" t="s">
        <v>231</v>
      </c>
      <c r="H8" s="216">
        <f>H7/6*52</f>
        <v>18581.333333333332</v>
      </c>
      <c r="K8" s="142"/>
      <c r="L8" s="108"/>
    </row>
    <row r="9" spans="1:16" ht="15.75" thickBot="1" x14ac:dyDescent="0.3">
      <c r="A9" s="129" t="s">
        <v>224</v>
      </c>
      <c r="B9" s="180"/>
      <c r="C9" s="371">
        <f>E7*E8</f>
        <v>2.666E-3</v>
      </c>
      <c r="D9" s="372">
        <f>0.5*C9</f>
        <v>1.333E-3</v>
      </c>
      <c r="E9" s="135"/>
      <c r="G9" s="176"/>
      <c r="H9" s="177"/>
      <c r="K9" s="142"/>
      <c r="L9" s="246"/>
    </row>
    <row r="10" spans="1:16" x14ac:dyDescent="0.25">
      <c r="A10" s="131" t="s">
        <v>293</v>
      </c>
      <c r="B10" s="181"/>
      <c r="C10" s="188">
        <f>480*C9</f>
        <v>1.2796799999999999</v>
      </c>
      <c r="D10" s="132" t="s">
        <v>241</v>
      </c>
      <c r="E10" s="128"/>
      <c r="G10" s="465" t="s">
        <v>232</v>
      </c>
      <c r="H10" s="466"/>
      <c r="K10" s="142"/>
      <c r="L10" s="142"/>
    </row>
    <row r="11" spans="1:16" ht="15.75" thickBot="1" x14ac:dyDescent="0.3">
      <c r="A11" s="302" t="s">
        <v>234</v>
      </c>
      <c r="B11" s="194"/>
      <c r="C11" s="189">
        <f>C9*C3</f>
        <v>4.3989000000000003</v>
      </c>
      <c r="D11" s="140">
        <f>D9*D3</f>
        <v>0.30925599999999998</v>
      </c>
      <c r="E11" s="141">
        <f>SUM(C11:D11)</f>
        <v>4.7081560000000007</v>
      </c>
      <c r="G11" s="217" t="s">
        <v>233</v>
      </c>
      <c r="H11" s="103">
        <v>100000</v>
      </c>
      <c r="K11" s="220"/>
      <c r="L11" s="220"/>
    </row>
    <row r="12" spans="1:16" ht="15.75" thickBot="1" x14ac:dyDescent="0.3">
      <c r="A12" s="178" t="s">
        <v>235</v>
      </c>
      <c r="B12" s="182"/>
      <c r="C12" s="367">
        <f>C11*C6</f>
        <v>113174.8992</v>
      </c>
      <c r="D12" s="368">
        <f>D11*D6</f>
        <v>9890.006879999999</v>
      </c>
      <c r="E12" s="369">
        <f>SUM(C12:D12)</f>
        <v>123064.90608</v>
      </c>
      <c r="K12" s="142"/>
      <c r="L12" s="108"/>
      <c r="O12" s="136"/>
      <c r="P12" s="136"/>
    </row>
    <row r="13" spans="1:16" ht="15.75" thickBot="1" x14ac:dyDescent="0.3">
      <c r="A13" s="143" t="s">
        <v>212</v>
      </c>
      <c r="B13" s="183"/>
      <c r="C13" s="190"/>
      <c r="D13" s="144"/>
      <c r="E13" s="145">
        <f>E12*0.8</f>
        <v>98451.924864000001</v>
      </c>
      <c r="K13" s="142"/>
      <c r="L13" s="108"/>
      <c r="N13" s="117"/>
      <c r="O13" s="134"/>
      <c r="P13" s="134"/>
    </row>
    <row r="14" spans="1:16" x14ac:dyDescent="0.25">
      <c r="A14" s="373"/>
      <c r="B14" s="373"/>
      <c r="C14" s="374"/>
      <c r="D14" s="374"/>
      <c r="E14" s="374"/>
      <c r="K14" s="142"/>
      <c r="L14" s="108"/>
      <c r="N14" s="117"/>
      <c r="O14" s="134"/>
      <c r="P14" s="134"/>
    </row>
    <row r="15" spans="1:16" ht="15.75" thickBot="1" x14ac:dyDescent="0.3">
      <c r="K15" s="142"/>
      <c r="L15" s="142"/>
      <c r="N15" s="117"/>
      <c r="O15" s="134"/>
      <c r="P15" s="134"/>
    </row>
    <row r="16" spans="1:16" x14ac:dyDescent="0.25">
      <c r="A16" s="114" t="s">
        <v>202</v>
      </c>
      <c r="B16" s="115"/>
      <c r="C16" s="115"/>
      <c r="D16" s="137" t="s">
        <v>201</v>
      </c>
      <c r="E16" s="137"/>
      <c r="F16" s="138"/>
      <c r="G16" s="138"/>
      <c r="H16" s="139"/>
      <c r="K16" s="142"/>
      <c r="L16" s="246"/>
      <c r="N16" s="117"/>
      <c r="O16" s="134"/>
      <c r="P16" s="134"/>
    </row>
    <row r="17" spans="1:13" x14ac:dyDescent="0.25">
      <c r="A17" s="199" t="s">
        <v>203</v>
      </c>
      <c r="B17" s="200"/>
      <c r="C17" s="200"/>
      <c r="D17" s="108">
        <f>'Att E Kosten totaal (Active)'!I28*0.5/2</f>
        <v>66882.75</v>
      </c>
      <c r="E17" s="142"/>
      <c r="F17" s="201" t="s">
        <v>213</v>
      </c>
      <c r="G17" s="201"/>
      <c r="H17" s="109">
        <f>2*D17</f>
        <v>133765.5</v>
      </c>
      <c r="K17" s="142"/>
      <c r="L17" s="246"/>
    </row>
    <row r="18" spans="1:13" x14ac:dyDescent="0.25">
      <c r="A18" s="199" t="s">
        <v>204</v>
      </c>
      <c r="B18" s="200"/>
      <c r="C18" s="200"/>
      <c r="D18" s="108">
        <f>10000</f>
        <v>10000</v>
      </c>
      <c r="E18" s="142"/>
      <c r="F18" s="201" t="s">
        <v>216</v>
      </c>
      <c r="G18" s="201"/>
      <c r="H18" s="202"/>
      <c r="K18" s="142"/>
      <c r="L18" s="247"/>
    </row>
    <row r="19" spans="1:13" ht="15.75" thickBot="1" x14ac:dyDescent="0.3">
      <c r="A19" s="197" t="s">
        <v>205</v>
      </c>
      <c r="B19" s="198"/>
      <c r="C19" s="198"/>
      <c r="D19" s="110">
        <f>'Att E Kosten totaal (Active)'!G28*24*1.21</f>
        <v>107012.4</v>
      </c>
      <c r="E19" s="146"/>
      <c r="F19" s="146"/>
      <c r="G19" s="146"/>
      <c r="H19" s="147"/>
    </row>
    <row r="21" spans="1:13" ht="15.75" thickBot="1" x14ac:dyDescent="0.3"/>
    <row r="22" spans="1:13" ht="15.75" thickBot="1" x14ac:dyDescent="0.3">
      <c r="A22" s="227" t="s">
        <v>223</v>
      </c>
      <c r="B22" s="228"/>
      <c r="C22" s="228"/>
      <c r="D22" s="228"/>
      <c r="E22" s="179"/>
      <c r="F22" s="179"/>
      <c r="G22" s="228"/>
      <c r="H22" s="228"/>
      <c r="I22" s="229"/>
    </row>
    <row r="23" spans="1:13" x14ac:dyDescent="0.25">
      <c r="A23" s="148"/>
      <c r="B23" s="149" t="s">
        <v>206</v>
      </c>
      <c r="C23" s="150"/>
      <c r="D23" s="151" t="s">
        <v>110</v>
      </c>
      <c r="E23" s="152" t="s">
        <v>221</v>
      </c>
      <c r="F23" s="153"/>
      <c r="G23" s="152" t="s">
        <v>218</v>
      </c>
      <c r="H23" s="154"/>
      <c r="I23" s="155"/>
    </row>
    <row r="24" spans="1:13" ht="15.75" thickBot="1" x14ac:dyDescent="0.3">
      <c r="A24" s="156"/>
      <c r="B24" s="157" t="s">
        <v>207</v>
      </c>
      <c r="C24" s="158" t="s">
        <v>199</v>
      </c>
      <c r="D24" s="159" t="s">
        <v>220</v>
      </c>
      <c r="E24" s="160" t="s">
        <v>209</v>
      </c>
      <c r="F24" s="161" t="s">
        <v>210</v>
      </c>
      <c r="G24" s="160" t="s">
        <v>217</v>
      </c>
      <c r="H24" s="162" t="s">
        <v>219</v>
      </c>
      <c r="I24" s="163" t="s">
        <v>208</v>
      </c>
    </row>
    <row r="25" spans="1:13" x14ac:dyDescent="0.25">
      <c r="A25" s="204">
        <v>1</v>
      </c>
      <c r="B25" s="164">
        <f>(2/3)*E12+H8+H11</f>
        <v>200624.60405333334</v>
      </c>
      <c r="C25" s="100">
        <f>0.5*E13+H8</f>
        <v>67807.295765333329</v>
      </c>
      <c r="D25" s="165">
        <f>('Att E Kosten totaal (Active)'!I5)*(-1)</f>
        <v>-1231457.1000000001</v>
      </c>
      <c r="E25" s="113">
        <f>B25+D25</f>
        <v>-1030832.4959466667</v>
      </c>
      <c r="F25" s="166">
        <f>C25+D25</f>
        <v>-1163649.8042346667</v>
      </c>
      <c r="G25" s="167">
        <f>E25</f>
        <v>-1030832.4959466667</v>
      </c>
      <c r="H25" s="105">
        <f>F25</f>
        <v>-1163649.8042346667</v>
      </c>
      <c r="I25" s="168">
        <f>H25/1</f>
        <v>-1163649.8042346667</v>
      </c>
    </row>
    <row r="26" spans="1:13" x14ac:dyDescent="0.25">
      <c r="A26" s="204">
        <v>2</v>
      </c>
      <c r="B26" s="164">
        <f>E12+H8</f>
        <v>141646.23941333333</v>
      </c>
      <c r="C26" s="101">
        <f>E13+H8</f>
        <v>117033.25819733333</v>
      </c>
      <c r="D26" s="111">
        <f>(SUM(D18:D19))*(-1)</f>
        <v>-117012.4</v>
      </c>
      <c r="E26" s="102">
        <f>B26+D26</f>
        <v>24633.839413333335</v>
      </c>
      <c r="F26" s="169">
        <f>C26+D26</f>
        <v>20.858197333334829</v>
      </c>
      <c r="G26" s="170">
        <f t="shared" ref="G26:H29" si="0">G25+E26</f>
        <v>-1006198.6565333334</v>
      </c>
      <c r="H26" s="106">
        <f t="shared" si="0"/>
        <v>-1163628.9460373335</v>
      </c>
      <c r="I26" s="171">
        <f>H26/2</f>
        <v>-581814.47301866673</v>
      </c>
    </row>
    <row r="27" spans="1:13" x14ac:dyDescent="0.25">
      <c r="A27" s="204">
        <v>3</v>
      </c>
      <c r="B27" s="164">
        <f>E12+H8</f>
        <v>141646.23941333333</v>
      </c>
      <c r="C27" s="101">
        <f>E13+H8</f>
        <v>117033.25819733333</v>
      </c>
      <c r="D27" s="111">
        <f>(H17+D18+D19)*(-1)</f>
        <v>-250777.9</v>
      </c>
      <c r="E27" s="102">
        <f>B27+D27</f>
        <v>-109131.66058666667</v>
      </c>
      <c r="F27" s="169">
        <f>C27+D27</f>
        <v>-133744.64180266665</v>
      </c>
      <c r="G27" s="170">
        <f t="shared" si="0"/>
        <v>-1115330.31712</v>
      </c>
      <c r="H27" s="106">
        <f t="shared" si="0"/>
        <v>-1297373.5878400002</v>
      </c>
      <c r="I27" s="168">
        <f>H27/3</f>
        <v>-432457.86261333339</v>
      </c>
    </row>
    <row r="28" spans="1:13" x14ac:dyDescent="0.25">
      <c r="A28" s="204">
        <v>4</v>
      </c>
      <c r="B28" s="164">
        <f>E12+H8</f>
        <v>141646.23941333333</v>
      </c>
      <c r="C28" s="101">
        <f>E13+H8</f>
        <v>117033.25819733333</v>
      </c>
      <c r="D28" s="111">
        <f>(SUM(D18:D19))*(-1)</f>
        <v>-117012.4</v>
      </c>
      <c r="E28" s="102">
        <f>B28+D28</f>
        <v>24633.839413333335</v>
      </c>
      <c r="F28" s="169">
        <f>C28+D28</f>
        <v>20.858197333334829</v>
      </c>
      <c r="G28" s="170">
        <f t="shared" si="0"/>
        <v>-1090696.4777066666</v>
      </c>
      <c r="H28" s="106">
        <f t="shared" si="0"/>
        <v>-1297352.7296426669</v>
      </c>
      <c r="I28" s="171">
        <f>H28/4</f>
        <v>-324338.18241066672</v>
      </c>
    </row>
    <row r="29" spans="1:13" ht="15.75" thickBot="1" x14ac:dyDescent="0.3">
      <c r="A29" s="205">
        <v>5</v>
      </c>
      <c r="B29" s="172">
        <f>E12+H8</f>
        <v>141646.23941333333</v>
      </c>
      <c r="C29" s="103">
        <f>E13+H8</f>
        <v>117033.25819733333</v>
      </c>
      <c r="D29" s="112">
        <f>(H17+D18+D19)*(-1)</f>
        <v>-250777.9</v>
      </c>
      <c r="E29" s="104">
        <f>B29+D29</f>
        <v>-109131.66058666667</v>
      </c>
      <c r="F29" s="173">
        <f>C29+D29</f>
        <v>-133744.64180266665</v>
      </c>
      <c r="G29" s="174">
        <f t="shared" si="0"/>
        <v>-1199828.1382933334</v>
      </c>
      <c r="H29" s="107">
        <f t="shared" si="0"/>
        <v>-1431097.3714453336</v>
      </c>
      <c r="I29" s="175">
        <f>H29/5</f>
        <v>-286219.47428906674</v>
      </c>
    </row>
    <row r="30" spans="1:13" x14ac:dyDescent="0.25">
      <c r="A30" s="176"/>
      <c r="B30" s="142"/>
      <c r="C30" s="142"/>
      <c r="D30" s="142"/>
      <c r="E30" s="142"/>
      <c r="F30" s="142"/>
      <c r="G30" s="142"/>
      <c r="H30" s="142"/>
      <c r="I30" s="177"/>
      <c r="M30" s="136"/>
    </row>
    <row r="31" spans="1:13" ht="15.75" thickBot="1" x14ac:dyDescent="0.3">
      <c r="A31" s="218" t="s">
        <v>225</v>
      </c>
      <c r="B31" s="219">
        <f>AVERAGE(B25:B29)</f>
        <v>153441.91234133334</v>
      </c>
      <c r="C31" s="219">
        <f>AVERAGE(C25:C29)</f>
        <v>107188.06571093333</v>
      </c>
      <c r="D31" s="219">
        <f>AVERAGE(D25:D29)</f>
        <v>-393407.53999999992</v>
      </c>
      <c r="E31" s="219">
        <f>AVERAGE(E25:E29)</f>
        <v>-239965.62765866666</v>
      </c>
      <c r="F31" s="219">
        <f>AVERAGE(F25:F29)</f>
        <v>-286219.47428906674</v>
      </c>
      <c r="G31" s="146"/>
      <c r="H31" s="146"/>
      <c r="I31" s="147"/>
    </row>
    <row r="32" spans="1:13" ht="15.75" thickBot="1" x14ac:dyDescent="0.3"/>
    <row r="33" spans="1:6" x14ac:dyDescent="0.25">
      <c r="A33" s="294"/>
      <c r="B33" s="138" t="s">
        <v>275</v>
      </c>
      <c r="C33" s="138"/>
      <c r="D33" s="138"/>
      <c r="E33" s="295">
        <f>2+(H25)/(H25-H27)</f>
        <v>-6.701891113618295</v>
      </c>
      <c r="F33" s="139" t="s">
        <v>276</v>
      </c>
    </row>
    <row r="34" spans="1:6" ht="15.75" thickBot="1" x14ac:dyDescent="0.3">
      <c r="A34" s="272"/>
      <c r="B34" s="146" t="s">
        <v>253</v>
      </c>
      <c r="C34" s="146"/>
      <c r="D34" s="146"/>
      <c r="E34" s="300">
        <v>8.0249946708121893</v>
      </c>
      <c r="F34" s="147" t="s">
        <v>254</v>
      </c>
    </row>
  </sheetData>
  <mergeCells count="4">
    <mergeCell ref="G1:H1"/>
    <mergeCell ref="K1:L1"/>
    <mergeCell ref="G3:H3"/>
    <mergeCell ref="G10:H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L22" sqref="L22"/>
    </sheetView>
  </sheetViews>
  <sheetFormatPr defaultRowHeight="15" x14ac:dyDescent="0.25"/>
  <cols>
    <col min="1" max="1" width="23.140625" style="119" bestFit="1" customWidth="1"/>
    <col min="2" max="3" width="14.28515625" style="119" bestFit="1" customWidth="1"/>
    <col min="4" max="4" width="17.85546875" style="119" bestFit="1" customWidth="1"/>
    <col min="5" max="5" width="20.42578125" style="119" bestFit="1" customWidth="1"/>
    <col min="6" max="6" width="19.85546875" style="119" bestFit="1" customWidth="1"/>
    <col min="7" max="7" width="29.42578125" style="119" bestFit="1" customWidth="1"/>
    <col min="8" max="8" width="19.85546875" style="119" bestFit="1" customWidth="1"/>
    <col min="9" max="9" width="24.28515625" style="119" bestFit="1" customWidth="1"/>
    <col min="10" max="10" width="7.7109375" style="119" customWidth="1"/>
    <col min="11" max="11" width="49.28515625" style="119" bestFit="1" customWidth="1"/>
    <col min="12" max="12" width="25.5703125" style="119" bestFit="1" customWidth="1"/>
    <col min="13" max="13" width="15.7109375" style="119" bestFit="1" customWidth="1"/>
    <col min="14" max="14" width="13.28515625" style="119" bestFit="1" customWidth="1"/>
    <col min="15" max="15" width="9.140625" style="119"/>
    <col min="16" max="16" width="10.140625" style="119" bestFit="1" customWidth="1"/>
    <col min="17" max="16384" width="9.140625" style="119"/>
  </cols>
  <sheetData>
    <row r="1" spans="1:16" ht="15.75" thickBot="1" x14ac:dyDescent="0.3">
      <c r="A1" s="118" t="s">
        <v>214</v>
      </c>
      <c r="E1" s="120"/>
      <c r="F1" s="191"/>
      <c r="G1" s="462" t="s">
        <v>215</v>
      </c>
      <c r="H1" s="463"/>
      <c r="K1" s="455" t="s">
        <v>263</v>
      </c>
      <c r="L1" s="456"/>
      <c r="P1" s="120"/>
    </row>
    <row r="2" spans="1:16" ht="15.75" thickBot="1" x14ac:dyDescent="0.3">
      <c r="A2" s="121"/>
      <c r="C2" s="122" t="s">
        <v>200</v>
      </c>
      <c r="D2" s="123" t="s">
        <v>198</v>
      </c>
      <c r="E2" s="124" t="s">
        <v>111</v>
      </c>
      <c r="G2" s="176"/>
      <c r="H2" s="177"/>
      <c r="K2" s="445" t="s">
        <v>236</v>
      </c>
      <c r="L2" s="428">
        <v>8400</v>
      </c>
    </row>
    <row r="3" spans="1:16" x14ac:dyDescent="0.25">
      <c r="A3" s="192" t="s">
        <v>222</v>
      </c>
      <c r="B3" s="193"/>
      <c r="C3" s="184">
        <v>1650</v>
      </c>
      <c r="D3" s="125">
        <v>232</v>
      </c>
      <c r="E3" s="126">
        <f>SUM(C3:D3)</f>
        <v>1882</v>
      </c>
      <c r="G3" s="465" t="s">
        <v>228</v>
      </c>
      <c r="H3" s="466"/>
      <c r="K3" s="432" t="s">
        <v>237</v>
      </c>
      <c r="L3" s="101">
        <v>215</v>
      </c>
    </row>
    <row r="4" spans="1:16" x14ac:dyDescent="0.25">
      <c r="A4" s="302" t="s">
        <v>227</v>
      </c>
      <c r="B4" s="194"/>
      <c r="C4" s="185">
        <v>45</v>
      </c>
      <c r="D4" s="127">
        <v>55</v>
      </c>
      <c r="E4" s="128"/>
      <c r="G4" s="186" t="s">
        <v>229</v>
      </c>
      <c r="H4" s="133" t="s">
        <v>262</v>
      </c>
      <c r="K4" s="432" t="s">
        <v>238</v>
      </c>
      <c r="L4" s="444">
        <v>0.05</v>
      </c>
    </row>
    <row r="5" spans="1:16" ht="15.75" thickBot="1" x14ac:dyDescent="0.3">
      <c r="A5" s="195" t="s">
        <v>226</v>
      </c>
      <c r="B5" s="196"/>
      <c r="C5" s="186">
        <v>2144</v>
      </c>
      <c r="D5" s="132">
        <v>2665</v>
      </c>
      <c r="E5" s="133"/>
      <c r="G5" s="186" t="s">
        <v>230</v>
      </c>
      <c r="H5" s="133">
        <v>45</v>
      </c>
      <c r="K5" s="443" t="s">
        <v>249</v>
      </c>
      <c r="L5" s="429">
        <f>L2*L4</f>
        <v>420</v>
      </c>
    </row>
    <row r="6" spans="1:16" ht="15.75" thickBot="1" x14ac:dyDescent="0.3">
      <c r="A6" s="129" t="s">
        <v>211</v>
      </c>
      <c r="B6" s="180"/>
      <c r="C6" s="187">
        <f>12*C5</f>
        <v>25728</v>
      </c>
      <c r="D6" s="130">
        <f>12*D5</f>
        <v>31980</v>
      </c>
      <c r="E6" s="128"/>
      <c r="G6" s="186" t="s">
        <v>226</v>
      </c>
      <c r="H6" s="133">
        <v>2144</v>
      </c>
      <c r="K6" s="430"/>
      <c r="L6" s="431"/>
    </row>
    <row r="7" spans="1:16" x14ac:dyDescent="0.25">
      <c r="A7" s="375" t="s">
        <v>317</v>
      </c>
      <c r="B7" s="142"/>
      <c r="C7" s="186"/>
      <c r="D7" s="132"/>
      <c r="E7" s="370">
        <v>8.6E-3</v>
      </c>
      <c r="F7" s="134"/>
      <c r="G7" s="186" t="s">
        <v>245</v>
      </c>
      <c r="H7" s="101">
        <f>0.5*H6</f>
        <v>1072</v>
      </c>
      <c r="K7" s="445" t="s">
        <v>243</v>
      </c>
      <c r="L7" s="428">
        <v>700</v>
      </c>
    </row>
    <row r="8" spans="1:16" ht="15.75" thickBot="1" x14ac:dyDescent="0.3">
      <c r="A8" s="375" t="s">
        <v>318</v>
      </c>
      <c r="B8" s="142"/>
      <c r="C8" s="186"/>
      <c r="D8" s="132"/>
      <c r="E8" s="221">
        <v>0.21</v>
      </c>
      <c r="F8" s="136"/>
      <c r="G8" s="160" t="s">
        <v>231</v>
      </c>
      <c r="H8" s="216">
        <f>H7/6*52</f>
        <v>9290.6666666666661</v>
      </c>
      <c r="K8" s="432" t="s">
        <v>244</v>
      </c>
      <c r="L8" s="101">
        <v>8</v>
      </c>
    </row>
    <row r="9" spans="1:16" ht="15.75" thickBot="1" x14ac:dyDescent="0.3">
      <c r="A9" s="129" t="s">
        <v>224</v>
      </c>
      <c r="B9" s="180"/>
      <c r="C9" s="371">
        <f>E7*E8</f>
        <v>1.8059999999999999E-3</v>
      </c>
      <c r="D9" s="372">
        <f>0.5*C9</f>
        <v>9.0299999999999994E-4</v>
      </c>
      <c r="E9" s="135"/>
      <c r="G9" s="176"/>
      <c r="H9" s="177"/>
      <c r="K9" s="432" t="s">
        <v>242</v>
      </c>
      <c r="L9" s="171">
        <f>L7*L8</f>
        <v>5600</v>
      </c>
    </row>
    <row r="10" spans="1:16" x14ac:dyDescent="0.25">
      <c r="A10" s="131" t="s">
        <v>293</v>
      </c>
      <c r="B10" s="181"/>
      <c r="C10" s="188">
        <f>480*C9</f>
        <v>0.86687999999999998</v>
      </c>
      <c r="D10" s="132" t="s">
        <v>241</v>
      </c>
      <c r="E10" s="128"/>
      <c r="G10" s="465" t="s">
        <v>232</v>
      </c>
      <c r="H10" s="466"/>
      <c r="K10" s="453" t="s">
        <v>271</v>
      </c>
      <c r="L10" s="426">
        <v>4</v>
      </c>
    </row>
    <row r="11" spans="1:16" ht="15.75" thickBot="1" x14ac:dyDescent="0.3">
      <c r="A11" s="302" t="s">
        <v>234</v>
      </c>
      <c r="B11" s="194"/>
      <c r="C11" s="189">
        <f>C9*C3</f>
        <v>2.9798999999999998</v>
      </c>
      <c r="D11" s="140">
        <f>D9*D3</f>
        <v>0.20949599999999999</v>
      </c>
      <c r="E11" s="141">
        <f>SUM(C11:D11)</f>
        <v>3.1893959999999999</v>
      </c>
      <c r="G11" s="217" t="s">
        <v>233</v>
      </c>
      <c r="H11" s="103">
        <v>100000</v>
      </c>
      <c r="K11" s="432" t="s">
        <v>272</v>
      </c>
      <c r="L11" s="101">
        <f>L10*'Att E Kosten totaal (Active)'!H21</f>
        <v>2541</v>
      </c>
    </row>
    <row r="12" spans="1:16" ht="15.75" thickBot="1" x14ac:dyDescent="0.3">
      <c r="A12" s="178" t="s">
        <v>235</v>
      </c>
      <c r="B12" s="182"/>
      <c r="C12" s="367">
        <f>C11*C6</f>
        <v>76666.867199999993</v>
      </c>
      <c r="D12" s="368">
        <f>D11*D6</f>
        <v>6699.6820799999996</v>
      </c>
      <c r="E12" s="369">
        <f>SUM(C12:D12)</f>
        <v>83366.549279999992</v>
      </c>
      <c r="K12" s="453" t="s">
        <v>273</v>
      </c>
      <c r="L12" s="274">
        <v>1</v>
      </c>
      <c r="O12" s="136"/>
      <c r="P12" s="136"/>
    </row>
    <row r="13" spans="1:16" ht="15.75" thickBot="1" x14ac:dyDescent="0.3">
      <c r="A13" s="143" t="s">
        <v>212</v>
      </c>
      <c r="B13" s="183"/>
      <c r="C13" s="190"/>
      <c r="D13" s="144"/>
      <c r="E13" s="145">
        <f>E12*0.8</f>
        <v>66693.239423999999</v>
      </c>
      <c r="K13" s="454" t="s">
        <v>272</v>
      </c>
      <c r="L13" s="222">
        <f>L12*'Att E Kosten totaal (Active)'!H20</f>
        <v>2299</v>
      </c>
      <c r="N13" s="117"/>
      <c r="O13" s="134"/>
      <c r="P13" s="134"/>
    </row>
    <row r="14" spans="1:16" ht="15.75" thickBot="1" x14ac:dyDescent="0.3">
      <c r="A14" s="203"/>
      <c r="K14" s="452"/>
      <c r="L14" s="427"/>
      <c r="N14" s="117"/>
      <c r="O14" s="134"/>
      <c r="P14" s="134"/>
    </row>
    <row r="15" spans="1:16" x14ac:dyDescent="0.25">
      <c r="A15" s="114" t="s">
        <v>202</v>
      </c>
      <c r="B15" s="115"/>
      <c r="C15" s="115"/>
      <c r="D15" s="137" t="s">
        <v>201</v>
      </c>
      <c r="E15" s="137"/>
      <c r="F15" s="138"/>
      <c r="G15" s="138"/>
      <c r="H15" s="139"/>
      <c r="K15" s="446" t="s">
        <v>246</v>
      </c>
      <c r="L15" s="447" t="s">
        <v>247</v>
      </c>
      <c r="N15" s="117"/>
      <c r="O15" s="134"/>
      <c r="P15" s="134"/>
    </row>
    <row r="16" spans="1:16" x14ac:dyDescent="0.25">
      <c r="A16" s="199" t="s">
        <v>203</v>
      </c>
      <c r="B16" s="200"/>
      <c r="C16" s="200"/>
      <c r="D16" s="108">
        <v>0</v>
      </c>
      <c r="E16" s="142"/>
      <c r="F16" s="201" t="s">
        <v>213</v>
      </c>
      <c r="G16" s="201"/>
      <c r="H16" s="109">
        <f>2*D16</f>
        <v>0</v>
      </c>
      <c r="K16" s="432" t="s">
        <v>248</v>
      </c>
      <c r="L16" s="101">
        <v>2144</v>
      </c>
      <c r="N16" s="117"/>
      <c r="O16" s="134"/>
      <c r="P16" s="134"/>
    </row>
    <row r="17" spans="1:13" x14ac:dyDescent="0.25">
      <c r="A17" s="199" t="s">
        <v>204</v>
      </c>
      <c r="B17" s="200"/>
      <c r="C17" s="200"/>
      <c r="D17" s="108">
        <f>10000</f>
        <v>10000</v>
      </c>
      <c r="E17" s="142"/>
      <c r="F17" s="201" t="s">
        <v>216</v>
      </c>
      <c r="G17" s="201"/>
      <c r="H17" s="202"/>
      <c r="K17" s="448" t="s">
        <v>201</v>
      </c>
      <c r="L17" s="232">
        <f>8/160*2144*12</f>
        <v>1286.4000000000001</v>
      </c>
    </row>
    <row r="18" spans="1:13" ht="15.75" thickBot="1" x14ac:dyDescent="0.3">
      <c r="A18" s="197" t="s">
        <v>205</v>
      </c>
      <c r="B18" s="198"/>
      <c r="C18" s="198"/>
      <c r="D18" s="110">
        <v>0</v>
      </c>
      <c r="E18" s="146"/>
      <c r="F18" s="146"/>
      <c r="G18" s="146"/>
      <c r="H18" s="147"/>
      <c r="K18" s="443" t="s">
        <v>251</v>
      </c>
      <c r="L18" s="103">
        <f>3*(4/160)*L16</f>
        <v>160.80000000000001</v>
      </c>
    </row>
    <row r="19" spans="1:13" ht="15.75" thickBot="1" x14ac:dyDescent="0.3">
      <c r="K19" s="430"/>
      <c r="L19" s="431"/>
    </row>
    <row r="20" spans="1:13" ht="15.75" thickBot="1" x14ac:dyDescent="0.3">
      <c r="K20" s="445" t="s">
        <v>239</v>
      </c>
      <c r="L20" s="226">
        <f>L5*L3-L17</f>
        <v>89013.6</v>
      </c>
    </row>
    <row r="21" spans="1:13" ht="15.75" thickBot="1" x14ac:dyDescent="0.3">
      <c r="A21" s="227" t="s">
        <v>223</v>
      </c>
      <c r="B21" s="228"/>
      <c r="C21" s="228"/>
      <c r="D21" s="228"/>
      <c r="E21" s="179"/>
      <c r="F21" s="179"/>
      <c r="G21" s="228"/>
      <c r="H21" s="228"/>
      <c r="I21" s="229"/>
      <c r="K21" s="448" t="s">
        <v>316</v>
      </c>
      <c r="L21" s="231">
        <f>0.4*L20-L17</f>
        <v>34319.040000000001</v>
      </c>
    </row>
    <row r="22" spans="1:13" x14ac:dyDescent="0.25">
      <c r="A22" s="148"/>
      <c r="B22" s="149" t="s">
        <v>206</v>
      </c>
      <c r="C22" s="150"/>
      <c r="D22" s="151" t="s">
        <v>110</v>
      </c>
      <c r="E22" s="152" t="s">
        <v>221</v>
      </c>
      <c r="F22" s="153"/>
      <c r="G22" s="152" t="s">
        <v>218</v>
      </c>
      <c r="H22" s="154"/>
      <c r="I22" s="155"/>
      <c r="K22" s="453" t="s">
        <v>287</v>
      </c>
      <c r="L22" s="171">
        <f>L9+L11+L13+L18</f>
        <v>10600.8</v>
      </c>
    </row>
    <row r="23" spans="1:13" ht="15.75" thickBot="1" x14ac:dyDescent="0.3">
      <c r="A23" s="156"/>
      <c r="B23" s="157" t="s">
        <v>207</v>
      </c>
      <c r="C23" s="158" t="s">
        <v>199</v>
      </c>
      <c r="D23" s="159" t="s">
        <v>220</v>
      </c>
      <c r="E23" s="160" t="s">
        <v>209</v>
      </c>
      <c r="F23" s="161" t="s">
        <v>210</v>
      </c>
      <c r="G23" s="160" t="s">
        <v>217</v>
      </c>
      <c r="H23" s="162" t="s">
        <v>219</v>
      </c>
      <c r="I23" s="163" t="s">
        <v>208</v>
      </c>
      <c r="K23" s="443" t="s">
        <v>250</v>
      </c>
      <c r="L23" s="233">
        <f>(L22)/((L21/12)-(L17/12))</f>
        <v>3.8510273474962942</v>
      </c>
    </row>
    <row r="24" spans="1:13" x14ac:dyDescent="0.25">
      <c r="A24" s="204">
        <v>1</v>
      </c>
      <c r="B24" s="164">
        <f>(2/3)*E12+H8+H11+L21</f>
        <v>199187.40618666666</v>
      </c>
      <c r="C24" s="100">
        <f>0.5*E13+H8+H11+L21</f>
        <v>176956.32637866668</v>
      </c>
      <c r="D24" s="165">
        <f>('Att.C Kosten totaal (Passive)'!I5)*(-1)-L17-L22</f>
        <v>-869277.20000000007</v>
      </c>
      <c r="E24" s="113">
        <f>B24+D24</f>
        <v>-670089.79381333338</v>
      </c>
      <c r="F24" s="166">
        <f>C24+D24</f>
        <v>-692320.87362133339</v>
      </c>
      <c r="G24" s="167">
        <f>E24</f>
        <v>-670089.79381333338</v>
      </c>
      <c r="H24" s="105">
        <f>F24</f>
        <v>-692320.87362133339</v>
      </c>
      <c r="I24" s="168">
        <f>H24/1</f>
        <v>-692320.87362133339</v>
      </c>
    </row>
    <row r="25" spans="1:13" x14ac:dyDescent="0.25">
      <c r="A25" s="204">
        <v>2</v>
      </c>
      <c r="B25" s="164">
        <f>E12+HH11+L21</f>
        <v>117685.58927999999</v>
      </c>
      <c r="C25" s="101">
        <f>E13+HH11+L21</f>
        <v>101012.27942400001</v>
      </c>
      <c r="D25" s="111">
        <f>(SUM(D17:D18))*(-1)-L17</f>
        <v>-11286.4</v>
      </c>
      <c r="E25" s="102">
        <f>B25+D25</f>
        <v>106399.18927999999</v>
      </c>
      <c r="F25" s="169">
        <f>C25+D25</f>
        <v>89725.879424000013</v>
      </c>
      <c r="G25" s="170">
        <f t="shared" ref="G25:H28" si="0">G24+E25</f>
        <v>-563690.60453333333</v>
      </c>
      <c r="H25" s="106">
        <f t="shared" si="0"/>
        <v>-602594.99419733335</v>
      </c>
      <c r="I25" s="171">
        <f>H25/2</f>
        <v>-301297.49709866667</v>
      </c>
    </row>
    <row r="26" spans="1:13" x14ac:dyDescent="0.25">
      <c r="A26" s="204">
        <v>3</v>
      </c>
      <c r="B26" s="164">
        <f>E12+HH11+L21</f>
        <v>117685.58927999999</v>
      </c>
      <c r="C26" s="101">
        <f>E13+HH11+L21</f>
        <v>101012.27942400001</v>
      </c>
      <c r="D26" s="111">
        <f>(H16+D17+D18)*(-1)-L17</f>
        <v>-11286.4</v>
      </c>
      <c r="E26" s="102">
        <f>B26+D26</f>
        <v>106399.18927999999</v>
      </c>
      <c r="F26" s="169">
        <f>C26+D26</f>
        <v>89725.879424000013</v>
      </c>
      <c r="G26" s="170">
        <f t="shared" si="0"/>
        <v>-457291.41525333334</v>
      </c>
      <c r="H26" s="106">
        <f t="shared" si="0"/>
        <v>-512869.11477333331</v>
      </c>
      <c r="I26" s="168">
        <f>H26/3</f>
        <v>-170956.37159111109</v>
      </c>
    </row>
    <row r="27" spans="1:13" x14ac:dyDescent="0.25">
      <c r="A27" s="204">
        <v>4</v>
      </c>
      <c r="B27" s="164">
        <f>E12+HH11+L21</f>
        <v>117685.58927999999</v>
      </c>
      <c r="C27" s="101">
        <f>E13+HH11+L21</f>
        <v>101012.27942400001</v>
      </c>
      <c r="D27" s="111">
        <f>(SUM(D17:D18))*(-1)-L17</f>
        <v>-11286.4</v>
      </c>
      <c r="E27" s="102">
        <f>B27+D27</f>
        <v>106399.18927999999</v>
      </c>
      <c r="F27" s="169">
        <f>C27+D27</f>
        <v>89725.879424000013</v>
      </c>
      <c r="G27" s="170">
        <f t="shared" si="0"/>
        <v>-350892.22597333335</v>
      </c>
      <c r="H27" s="106">
        <f t="shared" si="0"/>
        <v>-423143.23534933326</v>
      </c>
      <c r="I27" s="171">
        <f>H27/4</f>
        <v>-105785.80883733332</v>
      </c>
    </row>
    <row r="28" spans="1:13" ht="15.75" thickBot="1" x14ac:dyDescent="0.3">
      <c r="A28" s="205">
        <v>5</v>
      </c>
      <c r="B28" s="172">
        <f>E12+HH11+L21</f>
        <v>117685.58927999999</v>
      </c>
      <c r="C28" s="103">
        <f>E13+HH11+L21</f>
        <v>101012.27942400001</v>
      </c>
      <c r="D28" s="112">
        <f>(H16+D17+D18)*(-1)-L17</f>
        <v>-11286.4</v>
      </c>
      <c r="E28" s="104">
        <f>B28+D28</f>
        <v>106399.18927999999</v>
      </c>
      <c r="F28" s="173">
        <f>C28+D28</f>
        <v>89725.879424000013</v>
      </c>
      <c r="G28" s="174">
        <f t="shared" si="0"/>
        <v>-244493.03669333336</v>
      </c>
      <c r="H28" s="107">
        <f t="shared" si="0"/>
        <v>-333417.35592533322</v>
      </c>
      <c r="I28" s="175">
        <f>H28/5</f>
        <v>-66683.47118506665</v>
      </c>
    </row>
    <row r="29" spans="1:13" x14ac:dyDescent="0.25">
      <c r="A29" s="176"/>
      <c r="B29" s="142"/>
      <c r="C29" s="142"/>
      <c r="D29" s="142"/>
      <c r="E29" s="142"/>
      <c r="F29" s="142"/>
      <c r="G29" s="142"/>
      <c r="H29" s="142"/>
      <c r="I29" s="177"/>
    </row>
    <row r="30" spans="1:13" ht="15.75" thickBot="1" x14ac:dyDescent="0.3">
      <c r="A30" s="218" t="s">
        <v>225</v>
      </c>
      <c r="B30" s="219">
        <f>AVERAGE(B24:B28)</f>
        <v>133985.95266133331</v>
      </c>
      <c r="C30" s="219">
        <f>AVERAGE(C24:C28)</f>
        <v>116201.08881493335</v>
      </c>
      <c r="D30" s="219">
        <f>AVERAGE(D24:D28)</f>
        <v>-182884.56000000003</v>
      </c>
      <c r="E30" s="219">
        <f>AVERAGE(E24:E28)</f>
        <v>-48898.607338666669</v>
      </c>
      <c r="F30" s="219">
        <f>AVERAGE(F24:F28)</f>
        <v>-66683.47118506665</v>
      </c>
      <c r="G30" s="146"/>
      <c r="H30" s="146"/>
      <c r="I30" s="147"/>
      <c r="M30" s="136"/>
    </row>
    <row r="32" spans="1:13" x14ac:dyDescent="0.25">
      <c r="B32" s="119" t="s">
        <v>275</v>
      </c>
      <c r="E32" s="276">
        <f>2+(H25)/(H25-H26)</f>
        <v>8.7159552858743012</v>
      </c>
      <c r="F32" s="119" t="s">
        <v>276</v>
      </c>
    </row>
    <row r="33" spans="2:6" x14ac:dyDescent="0.25">
      <c r="B33" s="119" t="s">
        <v>253</v>
      </c>
      <c r="E33" s="271">
        <v>3.3895367679299016</v>
      </c>
      <c r="F33" s="119" t="s">
        <v>254</v>
      </c>
    </row>
  </sheetData>
  <mergeCells count="3">
    <mergeCell ref="G1:H1"/>
    <mergeCell ref="G3:H3"/>
    <mergeCell ref="G10:H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Attachment A</vt:lpstr>
      <vt:lpstr>Attachment B</vt:lpstr>
      <vt:lpstr>Att.C Kosten totaal (Passive)</vt:lpstr>
      <vt:lpstr>Att. D Kosten totaal (Hybrid)</vt:lpstr>
      <vt:lpstr>Att E Kosten totaal (Active)</vt:lpstr>
      <vt:lpstr>Att F Kosten &amp; Baten (Passive)</vt:lpstr>
      <vt:lpstr>Att G Kosten &amp; Baten (Hybrid)</vt:lpstr>
      <vt:lpstr>Att H Kosten &amp; Baten (Active)</vt:lpstr>
      <vt:lpstr>Att I (P+verspilling)</vt:lpstr>
      <vt:lpstr>Att J (H+verspilling)</vt:lpstr>
      <vt:lpstr>Att K (A+verspilling)</vt:lpstr>
      <vt:lpstr>Att L Return on Investment</vt:lpstr>
      <vt:lpstr>Att M ROI + Waste Reduction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-</dc:creator>
  <cp:lastModifiedBy>Velde - Snippe, M.S. van der (LISA)</cp:lastModifiedBy>
  <dcterms:created xsi:type="dcterms:W3CDTF">2017-11-02T13:28:35Z</dcterms:created>
  <dcterms:modified xsi:type="dcterms:W3CDTF">2018-01-24T15:27:04Z</dcterms:modified>
</cp:coreProperties>
</file>